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ti.sharepoint.com/sites/AMAShared/Shared Documents/General/TxDOT Perf Measures/FY22/Task 3 Measures and COMPAT/PM3 updates 2020-2021/"/>
    </mc:Choice>
  </mc:AlternateContent>
  <xr:revisionPtr revIDLastSave="0" documentId="8_{C08B9D09-EBBC-4D5A-9E47-64CCDAEE4C5A}" xr6:coauthVersionLast="47" xr6:coauthVersionMax="47" xr10:uidLastSave="{00000000-0000-0000-0000-000000000000}"/>
  <bookViews>
    <workbookView xWindow="14520" yWindow="-16320" windowWidth="29040" windowHeight="15990" activeTab="1" xr2:uid="{F8906D9C-7325-476C-AF94-BC434D43FB34}"/>
  </bookViews>
  <sheets>
    <sheet name="User Guide" sheetId="9" r:id="rId1"/>
    <sheet name="State Summary" sheetId="15" r:id="rId2"/>
    <sheet name="LOTTR Interstate" sheetId="12" r:id="rId3"/>
    <sheet name="LOTTR Non-Interstate" sheetId="21" r:id="rId4"/>
    <sheet name="TTTR" sheetId="8" r:id="rId5"/>
    <sheet name="PHED" sheetId="11" r:id="rId6"/>
    <sheet name="Non-SOV Updated 2019" sheetId="26" r:id="rId7"/>
    <sheet name="Non-SOV Updated 2018" sheetId="23" r:id="rId8"/>
    <sheet name="Non-SOV Data 2016" sheetId="16" r:id="rId9"/>
    <sheet name="2017 NEW RAW DATA " sheetId="17" r:id="rId10"/>
    <sheet name="2018 RAW DATA" sheetId="18" r:id="rId11"/>
    <sheet name="2019 RAW DATA" sheetId="20" r:id="rId12"/>
    <sheet name="2020 RAW DATA" sheetId="24" r:id="rId13"/>
    <sheet name="2021 RAW Data" sheetId="25" r:id="rId14"/>
    <sheet name="VMT Growth" sheetId="14" r:id="rId15"/>
    <sheet name="2017 RAW DATA" sheetId="10" r:id="rId16"/>
    <sheet name="2016 RAW DATA" sheetId="4" r:id="rId17"/>
    <sheet name="2015 RAW DATA" sheetId="3" r:id="rId18"/>
    <sheet name="2014 RAW DATA" sheetId="2" r:id="rId19"/>
    <sheet name="Charts" sheetId="27" r:id="rId20"/>
  </sheets>
  <definedNames>
    <definedName name="_xlnm.Print_Area" localSheetId="2">'LOTTR Interstate'!$A$2:$BE$64</definedName>
    <definedName name="_xlnm.Print_Area" localSheetId="3">'LOTTR Non-Interstate'!$A$2:$BE$64</definedName>
    <definedName name="_xlnm.Print_Area" localSheetId="1">'State Summary'!$A$1:$J$42</definedName>
    <definedName name="_xlnm.Print_Area" localSheetId="4">TTTR!$A$1:$AG$64</definedName>
    <definedName name="_xlnm.Print_Titles" localSheetId="2">'LOTTR Interstate'!$A:$A</definedName>
    <definedName name="_xlnm.Print_Titles" localSheetId="3">'LOTTR Non-Interstate'!$A:$A</definedName>
    <definedName name="_xlnm.Print_Titles" localSheetId="4">TTTR!$A:$A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1" i="27" l="1"/>
  <c r="V10" i="27"/>
  <c r="T8" i="27"/>
  <c r="T6" i="27"/>
  <c r="T5" i="27"/>
  <c r="T4" i="27"/>
  <c r="T3" i="27"/>
  <c r="S11" i="27"/>
  <c r="S10" i="27"/>
  <c r="Q8" i="27"/>
  <c r="Q6" i="27"/>
  <c r="Q5" i="27"/>
  <c r="Q4" i="27"/>
  <c r="Q3" i="27"/>
  <c r="P11" i="27"/>
  <c r="P10" i="27"/>
  <c r="O9" i="27"/>
  <c r="N8" i="27"/>
  <c r="O7" i="27"/>
  <c r="N6" i="27"/>
  <c r="N5" i="27"/>
  <c r="N4" i="27"/>
  <c r="N3" i="27"/>
  <c r="M11" i="27"/>
  <c r="M10" i="27"/>
  <c r="L9" i="27"/>
  <c r="K8" i="27"/>
  <c r="L7" i="27"/>
  <c r="K6" i="27"/>
  <c r="K5" i="27"/>
  <c r="K4" i="27"/>
  <c r="K3" i="27"/>
  <c r="J11" i="27"/>
  <c r="J10" i="27"/>
  <c r="I9" i="27"/>
  <c r="H8" i="27"/>
  <c r="I7" i="27"/>
  <c r="H6" i="27"/>
  <c r="H5" i="27"/>
  <c r="H4" i="27"/>
  <c r="H3" i="27"/>
  <c r="G11" i="27"/>
  <c r="G10" i="27"/>
  <c r="F9" i="27"/>
  <c r="E8" i="27"/>
  <c r="F7" i="27"/>
  <c r="E6" i="27"/>
  <c r="E5" i="27"/>
  <c r="E4" i="27"/>
  <c r="E3" i="27"/>
  <c r="D11" i="27"/>
  <c r="D10" i="27"/>
  <c r="C9" i="27"/>
  <c r="B8" i="27"/>
  <c r="C7" i="27"/>
  <c r="B6" i="27"/>
  <c r="B5" i="27"/>
  <c r="B4" i="27"/>
  <c r="B3" i="27"/>
  <c r="B157" i="26" l="1"/>
  <c r="B141" i="26"/>
  <c r="B125" i="26"/>
  <c r="B108" i="26"/>
  <c r="B92" i="26"/>
  <c r="B76" i="26"/>
  <c r="B42" i="26"/>
  <c r="B26" i="26"/>
  <c r="B10" i="26"/>
  <c r="T45" i="15" l="1"/>
  <c r="T44" i="15"/>
  <c r="T43" i="15"/>
  <c r="O45" i="15"/>
  <c r="O44" i="15"/>
  <c r="O43" i="15"/>
  <c r="T22" i="15"/>
  <c r="O22" i="15"/>
  <c r="T32" i="15"/>
  <c r="O32" i="15"/>
  <c r="T25" i="15"/>
  <c r="O25" i="15"/>
  <c r="J25" i="15"/>
  <c r="E25" i="15"/>
  <c r="T21" i="15"/>
  <c r="E21" i="15"/>
  <c r="J21" i="15"/>
  <c r="O21" i="15"/>
  <c r="X32" i="8"/>
  <c r="X29" i="8"/>
  <c r="X31" i="8"/>
  <c r="X30" i="8"/>
  <c r="X28" i="8"/>
  <c r="X27" i="8"/>
  <c r="X25" i="8"/>
  <c r="X24" i="8"/>
  <c r="X22" i="8"/>
  <c r="X20" i="8"/>
  <c r="X19" i="8"/>
  <c r="X18" i="8"/>
  <c r="X17" i="8"/>
  <c r="X16" i="8"/>
  <c r="X15" i="8"/>
  <c r="X14" i="8"/>
  <c r="X13" i="8"/>
  <c r="X12" i="8"/>
  <c r="X11" i="8"/>
  <c r="X10" i="8"/>
  <c r="X8" i="8"/>
  <c r="X7" i="8"/>
  <c r="X6" i="8"/>
  <c r="X5" i="8"/>
  <c r="X4" i="8"/>
  <c r="W32" i="8"/>
  <c r="W29" i="8"/>
  <c r="W31" i="8"/>
  <c r="W30" i="8"/>
  <c r="W28" i="8"/>
  <c r="W27" i="8"/>
  <c r="W25" i="8"/>
  <c r="W24" i="8"/>
  <c r="W22" i="8"/>
  <c r="W20" i="8"/>
  <c r="W19" i="8"/>
  <c r="W18" i="8"/>
  <c r="W17" i="8"/>
  <c r="W16" i="8"/>
  <c r="W15" i="8"/>
  <c r="W14" i="8"/>
  <c r="W13" i="8"/>
  <c r="W12" i="8"/>
  <c r="W11" i="8"/>
  <c r="W10" i="8"/>
  <c r="W8" i="8"/>
  <c r="W7" i="8"/>
  <c r="W6" i="8"/>
  <c r="W5" i="8"/>
  <c r="W4" i="8"/>
  <c r="X31" i="12"/>
  <c r="X28" i="12"/>
  <c r="X25" i="12"/>
  <c r="X24" i="12"/>
  <c r="X22" i="12"/>
  <c r="X19" i="12"/>
  <c r="X18" i="12"/>
  <c r="X17" i="12"/>
  <c r="X16" i="12"/>
  <c r="X14" i="12"/>
  <c r="X13" i="12"/>
  <c r="X12" i="12"/>
  <c r="X10" i="12"/>
  <c r="X8" i="12"/>
  <c r="X7" i="12"/>
  <c r="X5" i="12"/>
  <c r="X4" i="12"/>
  <c r="X29" i="21"/>
  <c r="X31" i="21"/>
  <c r="X28" i="21"/>
  <c r="X27" i="21"/>
  <c r="X26" i="21"/>
  <c r="X25" i="21"/>
  <c r="X24" i="21"/>
  <c r="X23" i="21"/>
  <c r="X21" i="21"/>
  <c r="X19" i="21"/>
  <c r="X18" i="21"/>
  <c r="X17" i="21"/>
  <c r="X16" i="21"/>
  <c r="X14" i="21"/>
  <c r="X13" i="21"/>
  <c r="X12" i="21"/>
  <c r="X10" i="21"/>
  <c r="X9" i="21"/>
  <c r="X8" i="21"/>
  <c r="X7" i="21"/>
  <c r="X5" i="21"/>
  <c r="X4" i="21"/>
  <c r="W32" i="21"/>
  <c r="X32" i="21" s="1"/>
  <c r="W31" i="21"/>
  <c r="W30" i="21"/>
  <c r="X30" i="21" s="1"/>
  <c r="W29" i="21"/>
  <c r="W28" i="21"/>
  <c r="W27" i="21"/>
  <c r="W26" i="21"/>
  <c r="W25" i="21"/>
  <c r="W24" i="21"/>
  <c r="W23" i="21"/>
  <c r="W22" i="21"/>
  <c r="X22" i="21" s="1"/>
  <c r="W21" i="21"/>
  <c r="W20" i="21"/>
  <c r="X20" i="21" s="1"/>
  <c r="W19" i="21"/>
  <c r="W18" i="21"/>
  <c r="W17" i="21"/>
  <c r="W16" i="21"/>
  <c r="W15" i="21"/>
  <c r="X15" i="21" s="1"/>
  <c r="W14" i="21"/>
  <c r="W13" i="21"/>
  <c r="W12" i="21"/>
  <c r="W11" i="21"/>
  <c r="X11" i="21" s="1"/>
  <c r="W10" i="21"/>
  <c r="W9" i="21"/>
  <c r="W8" i="21"/>
  <c r="W7" i="21"/>
  <c r="W6" i="21"/>
  <c r="X6" i="21" s="1"/>
  <c r="W5" i="21"/>
  <c r="W4" i="21"/>
  <c r="W32" i="12"/>
  <c r="X32" i="12" s="1"/>
  <c r="W31" i="12"/>
  <c r="W30" i="12"/>
  <c r="X30" i="12" s="1"/>
  <c r="W29" i="12"/>
  <c r="X29" i="12" s="1"/>
  <c r="W28" i="12"/>
  <c r="W27" i="12"/>
  <c r="X27" i="12" s="1"/>
  <c r="W25" i="12"/>
  <c r="W24" i="12"/>
  <c r="W22" i="12"/>
  <c r="W20" i="12"/>
  <c r="X20" i="12" s="1"/>
  <c r="W19" i="12"/>
  <c r="W18" i="12"/>
  <c r="W17" i="12"/>
  <c r="W16" i="12"/>
  <c r="W15" i="12"/>
  <c r="X15" i="12" s="1"/>
  <c r="W14" i="12"/>
  <c r="W13" i="12"/>
  <c r="W12" i="12"/>
  <c r="W11" i="12"/>
  <c r="X11" i="12" s="1"/>
  <c r="W10" i="12"/>
  <c r="W8" i="12"/>
  <c r="W7" i="12"/>
  <c r="W6" i="12"/>
  <c r="X6" i="12" s="1"/>
  <c r="W5" i="12"/>
  <c r="W4" i="12"/>
  <c r="W29" i="11" l="1"/>
  <c r="V29" i="11"/>
  <c r="U29" i="11"/>
  <c r="T29" i="11"/>
  <c r="S29" i="11"/>
  <c r="H29" i="11"/>
  <c r="G29" i="11"/>
  <c r="F29" i="11"/>
  <c r="E29" i="11"/>
  <c r="D29" i="11"/>
  <c r="C29" i="11"/>
  <c r="B29" i="11"/>
  <c r="R24" i="11"/>
  <c r="Q24" i="11"/>
  <c r="O24" i="11"/>
  <c r="L24" i="11"/>
  <c r="M24" i="11" s="1"/>
  <c r="N24" i="11" s="1"/>
  <c r="P24" i="11" s="1"/>
  <c r="R23" i="11"/>
  <c r="Q23" i="11"/>
  <c r="O23" i="11"/>
  <c r="L23" i="11"/>
  <c r="M23" i="11" s="1"/>
  <c r="N23" i="11" s="1"/>
  <c r="P23" i="11" s="1"/>
  <c r="R22" i="11"/>
  <c r="Q22" i="11"/>
  <c r="O22" i="11"/>
  <c r="M22" i="11"/>
  <c r="N22" i="11" s="1"/>
  <c r="P22" i="11" s="1"/>
  <c r="L22" i="11"/>
  <c r="R21" i="11"/>
  <c r="Q21" i="11"/>
  <c r="O21" i="11"/>
  <c r="L21" i="11"/>
  <c r="M21" i="11" s="1"/>
  <c r="E20" i="11"/>
  <c r="D20" i="11"/>
  <c r="C20" i="11"/>
  <c r="B20" i="11"/>
  <c r="W18" i="11"/>
  <c r="W7" i="11" s="1"/>
  <c r="V18" i="11"/>
  <c r="V7" i="11" s="1"/>
  <c r="U18" i="11"/>
  <c r="T18" i="11"/>
  <c r="S18" i="11"/>
  <c r="V6" i="11"/>
  <c r="U6" i="11"/>
  <c r="T6" i="11"/>
  <c r="S5" i="11"/>
  <c r="W4" i="11"/>
  <c r="V4" i="11"/>
  <c r="W3" i="11"/>
  <c r="U3" i="11"/>
  <c r="T3" i="11"/>
  <c r="S3" i="11"/>
  <c r="W6" i="11"/>
  <c r="W5" i="11"/>
  <c r="V5" i="11"/>
  <c r="V3" i="11"/>
  <c r="U7" i="11"/>
  <c r="T7" i="11"/>
  <c r="S7" i="11"/>
  <c r="S6" i="11"/>
  <c r="U5" i="11"/>
  <c r="T5" i="11"/>
  <c r="U4" i="11"/>
  <c r="T4" i="11"/>
  <c r="S4" i="11"/>
  <c r="Q15" i="15"/>
  <c r="Q16" i="15"/>
  <c r="Q17" i="15"/>
  <c r="Q18" i="15"/>
  <c r="Q20" i="15"/>
  <c r="Q21" i="15"/>
  <c r="Q22" i="15"/>
  <c r="Q23" i="15"/>
  <c r="Q24" i="15"/>
  <c r="Q25" i="15"/>
  <c r="Q26" i="15"/>
  <c r="Q27" i="15"/>
  <c r="Q28" i="15"/>
  <c r="Q29" i="15"/>
  <c r="Q30" i="15"/>
  <c r="Q32" i="15"/>
  <c r="Q34" i="15"/>
  <c r="Q35" i="15"/>
  <c r="Q37" i="15"/>
  <c r="Q38" i="15"/>
  <c r="Q39" i="15"/>
  <c r="Q40" i="15"/>
  <c r="Q41" i="15"/>
  <c r="Q42" i="15"/>
  <c r="L15" i="15"/>
  <c r="L16" i="15"/>
  <c r="L17" i="15"/>
  <c r="L18" i="15"/>
  <c r="L20" i="15"/>
  <c r="L21" i="15"/>
  <c r="L22" i="15"/>
  <c r="L23" i="15"/>
  <c r="L24" i="15"/>
  <c r="L25" i="15"/>
  <c r="L26" i="15"/>
  <c r="L27" i="15"/>
  <c r="L28" i="15"/>
  <c r="L29" i="15"/>
  <c r="L30" i="15"/>
  <c r="L32" i="15"/>
  <c r="L34" i="15"/>
  <c r="L35" i="15"/>
  <c r="L37" i="15"/>
  <c r="L38" i="15"/>
  <c r="L39" i="15"/>
  <c r="L40" i="15"/>
  <c r="L41" i="15"/>
  <c r="L42" i="15"/>
  <c r="Q14" i="15"/>
  <c r="L14" i="15"/>
  <c r="N21" i="11" l="1"/>
  <c r="M29" i="11"/>
  <c r="L29" i="11"/>
  <c r="N14" i="15"/>
  <c r="S15" i="15"/>
  <c r="S16" i="15"/>
  <c r="S17" i="15"/>
  <c r="S18" i="15"/>
  <c r="S20" i="15"/>
  <c r="S21" i="15"/>
  <c r="S22" i="15"/>
  <c r="S23" i="15"/>
  <c r="S24" i="15"/>
  <c r="S25" i="15"/>
  <c r="S26" i="15"/>
  <c r="S27" i="15"/>
  <c r="S28" i="15"/>
  <c r="S29" i="15"/>
  <c r="S30" i="15"/>
  <c r="S32" i="15"/>
  <c r="S34" i="15"/>
  <c r="S35" i="15"/>
  <c r="S37" i="15"/>
  <c r="S38" i="15"/>
  <c r="S39" i="15"/>
  <c r="S40" i="15"/>
  <c r="S41" i="15"/>
  <c r="S42" i="15"/>
  <c r="S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14" i="15"/>
  <c r="N15" i="15"/>
  <c r="N16" i="15"/>
  <c r="N17" i="15"/>
  <c r="N18" i="15"/>
  <c r="N20" i="15"/>
  <c r="N21" i="15"/>
  <c r="N22" i="15"/>
  <c r="N23" i="15"/>
  <c r="N24" i="15"/>
  <c r="N25" i="15"/>
  <c r="N26" i="15"/>
  <c r="N27" i="15"/>
  <c r="N28" i="15"/>
  <c r="N29" i="15"/>
  <c r="N30" i="15"/>
  <c r="N32" i="15"/>
  <c r="N34" i="15"/>
  <c r="N35" i="15"/>
  <c r="N37" i="15"/>
  <c r="N38" i="15"/>
  <c r="N39" i="15"/>
  <c r="N40" i="15"/>
  <c r="N41" i="15"/>
  <c r="N42" i="15"/>
  <c r="G39" i="15"/>
  <c r="H39" i="15"/>
  <c r="I39" i="15"/>
  <c r="G40" i="15"/>
  <c r="H40" i="15"/>
  <c r="I40" i="15"/>
  <c r="G41" i="15"/>
  <c r="H41" i="15"/>
  <c r="I41" i="15"/>
  <c r="B40" i="15"/>
  <c r="C40" i="15"/>
  <c r="D40" i="15"/>
  <c r="B39" i="15"/>
  <c r="C39" i="15"/>
  <c r="D39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14" i="15"/>
  <c r="AA9" i="12"/>
  <c r="AB9" i="12"/>
  <c r="AA21" i="12"/>
  <c r="AB21" i="12"/>
  <c r="AA23" i="12"/>
  <c r="AB23" i="12"/>
  <c r="AA26" i="12"/>
  <c r="AB26" i="12"/>
  <c r="R9" i="8"/>
  <c r="R21" i="8"/>
  <c r="R23" i="8"/>
  <c r="R26" i="8"/>
  <c r="AJ26" i="8"/>
  <c r="AF9" i="8"/>
  <c r="AJ9" i="8" s="1"/>
  <c r="AF21" i="8"/>
  <c r="AJ21" i="8" s="1"/>
  <c r="AF23" i="8"/>
  <c r="AJ23" i="8" s="1"/>
  <c r="AF26" i="8"/>
  <c r="AB3" i="8"/>
  <c r="Z3" i="8"/>
  <c r="AX35" i="8"/>
  <c r="AW35" i="8"/>
  <c r="AV35" i="8"/>
  <c r="AU35" i="8"/>
  <c r="AT35" i="8"/>
  <c r="AS35" i="8"/>
  <c r="AA63" i="8"/>
  <c r="CB41" i="21"/>
  <c r="CB42" i="21"/>
  <c r="CB43" i="21"/>
  <c r="CB44" i="21"/>
  <c r="CB45" i="21"/>
  <c r="CB46" i="21"/>
  <c r="CB47" i="21"/>
  <c r="CB48" i="21"/>
  <c r="CB49" i="21"/>
  <c r="CB50" i="21"/>
  <c r="CB51" i="21"/>
  <c r="CB52" i="21"/>
  <c r="CB53" i="21"/>
  <c r="CB54" i="21"/>
  <c r="CB55" i="21"/>
  <c r="CB56" i="21"/>
  <c r="CB57" i="21"/>
  <c r="CB58" i="21"/>
  <c r="BV53" i="21"/>
  <c r="BV54" i="21"/>
  <c r="BV55" i="21"/>
  <c r="BV56" i="21"/>
  <c r="BV57" i="21"/>
  <c r="BV58" i="21"/>
  <c r="BV59" i="21"/>
  <c r="BV41" i="21"/>
  <c r="BV42" i="21"/>
  <c r="BV43" i="21"/>
  <c r="BV44" i="21"/>
  <c r="BV45" i="21"/>
  <c r="BV46" i="21"/>
  <c r="BV47" i="21"/>
  <c r="BV48" i="21"/>
  <c r="BV49" i="21"/>
  <c r="BV50" i="21"/>
  <c r="BV51" i="21"/>
  <c r="BV52" i="21"/>
  <c r="BP61" i="21"/>
  <c r="BJ61" i="21"/>
  <c r="BD61" i="21"/>
  <c r="AT61" i="21"/>
  <c r="AJ61" i="21"/>
  <c r="AG61" i="21"/>
  <c r="CB61" i="21" s="1"/>
  <c r="CB63" i="21"/>
  <c r="BV63" i="21"/>
  <c r="CB60" i="21"/>
  <c r="BV60" i="21"/>
  <c r="CB59" i="21"/>
  <c r="CB40" i="21"/>
  <c r="BV40" i="21"/>
  <c r="CB39" i="21"/>
  <c r="BV39" i="21"/>
  <c r="CB38" i="21"/>
  <c r="BV38" i="21"/>
  <c r="CB37" i="21"/>
  <c r="BV37" i="21"/>
  <c r="CB36" i="21"/>
  <c r="BV36" i="21"/>
  <c r="R9" i="12"/>
  <c r="R21" i="12"/>
  <c r="R23" i="12"/>
  <c r="R26" i="12"/>
  <c r="CB37" i="12"/>
  <c r="CB38" i="12"/>
  <c r="CB39" i="12"/>
  <c r="CB40" i="12"/>
  <c r="CB42" i="12"/>
  <c r="CB43" i="12"/>
  <c r="CB44" i="12"/>
  <c r="CB45" i="12"/>
  <c r="CB46" i="12"/>
  <c r="CB47" i="12"/>
  <c r="CB48" i="12"/>
  <c r="CB49" i="12"/>
  <c r="CB50" i="12"/>
  <c r="CB51" i="12"/>
  <c r="CB52" i="12"/>
  <c r="CB54" i="12"/>
  <c r="CB56" i="12"/>
  <c r="CB57" i="12"/>
  <c r="CB59" i="12"/>
  <c r="CB60" i="12"/>
  <c r="CB63" i="12"/>
  <c r="CB36" i="12"/>
  <c r="BV37" i="12"/>
  <c r="BV38" i="12"/>
  <c r="BV39" i="12"/>
  <c r="BV40" i="12"/>
  <c r="BV42" i="12"/>
  <c r="BV43" i="12"/>
  <c r="BV44" i="12"/>
  <c r="BV45" i="12"/>
  <c r="BV46" i="12"/>
  <c r="BV47" i="12"/>
  <c r="BV48" i="12"/>
  <c r="BV49" i="12"/>
  <c r="BV50" i="12"/>
  <c r="BV51" i="12"/>
  <c r="BV52" i="12"/>
  <c r="BV54" i="12"/>
  <c r="BV56" i="12"/>
  <c r="BV57" i="12"/>
  <c r="BV59" i="12"/>
  <c r="BV60" i="12"/>
  <c r="BV63" i="12"/>
  <c r="BV36" i="12"/>
  <c r="AG61" i="12"/>
  <c r="BJ61" i="12" s="1"/>
  <c r="AJ61" i="12" l="1"/>
  <c r="CB61" i="12"/>
  <c r="BD61" i="12"/>
  <c r="BP61" i="12"/>
  <c r="BV61" i="12"/>
  <c r="AT61" i="12"/>
  <c r="N29" i="11"/>
  <c r="P21" i="11"/>
  <c r="BV61" i="21"/>
  <c r="AE9" i="8"/>
  <c r="AI9" i="8" s="1"/>
  <c r="AE21" i="8"/>
  <c r="AI21" i="8" s="1"/>
  <c r="AE23" i="8"/>
  <c r="AI23" i="8" s="1"/>
  <c r="AE26" i="8"/>
  <c r="AI26" i="8" s="1"/>
  <c r="AA3" i="8"/>
  <c r="I24" i="8" l="1"/>
  <c r="AI63" i="8"/>
  <c r="J31" i="8" s="1"/>
  <c r="AH63" i="8"/>
  <c r="AG63" i="8"/>
  <c r="AG61" i="8"/>
  <c r="AH61" i="8"/>
  <c r="AI61" i="8" s="1"/>
  <c r="J29" i="8" s="1"/>
  <c r="AH36" i="8"/>
  <c r="AH37" i="8"/>
  <c r="AH38" i="8"/>
  <c r="AH39" i="8"/>
  <c r="AH40" i="8"/>
  <c r="AH42" i="8"/>
  <c r="AH43" i="8"/>
  <c r="AH44" i="8"/>
  <c r="AH45" i="8"/>
  <c r="AH46" i="8"/>
  <c r="AH47" i="8"/>
  <c r="AH48" i="8"/>
  <c r="AH49" i="8"/>
  <c r="AH50" i="8"/>
  <c r="AH51" i="8"/>
  <c r="AH52" i="8"/>
  <c r="AH54" i="8"/>
  <c r="AH56" i="8"/>
  <c r="AH57" i="8"/>
  <c r="AH59" i="8"/>
  <c r="AH60" i="8"/>
  <c r="AG37" i="8"/>
  <c r="AG38" i="8"/>
  <c r="AG39" i="8"/>
  <c r="AG40" i="8"/>
  <c r="AG42" i="8"/>
  <c r="AG43" i="8"/>
  <c r="AG44" i="8"/>
  <c r="AG45" i="8"/>
  <c r="AG46" i="8"/>
  <c r="AG47" i="8"/>
  <c r="AG48" i="8"/>
  <c r="AG49" i="8"/>
  <c r="AG50" i="8"/>
  <c r="AG51" i="8"/>
  <c r="AG52" i="8"/>
  <c r="AG54" i="8"/>
  <c r="AG56" i="8"/>
  <c r="AG57" i="8"/>
  <c r="AG59" i="8"/>
  <c r="AG60" i="8"/>
  <c r="AG36" i="8"/>
  <c r="AC63" i="8"/>
  <c r="I31" i="8" s="1"/>
  <c r="AB63" i="8"/>
  <c r="AA37" i="8"/>
  <c r="AB37" i="8"/>
  <c r="AC37" i="8"/>
  <c r="I5" i="8" s="1"/>
  <c r="AA38" i="8"/>
  <c r="AB38" i="8"/>
  <c r="AC38" i="8"/>
  <c r="I6" i="8" s="1"/>
  <c r="AA39" i="8"/>
  <c r="AB39" i="8"/>
  <c r="AC39" i="8"/>
  <c r="I7" i="8" s="1"/>
  <c r="AA40" i="8"/>
  <c r="AB40" i="8"/>
  <c r="AC40" i="8"/>
  <c r="I8" i="8" s="1"/>
  <c r="AA42" i="8"/>
  <c r="AB42" i="8"/>
  <c r="AC42" i="8"/>
  <c r="I10" i="8" s="1"/>
  <c r="AA43" i="8"/>
  <c r="AB43" i="8"/>
  <c r="AC43" i="8"/>
  <c r="I11" i="8" s="1"/>
  <c r="AA44" i="8"/>
  <c r="AB44" i="8"/>
  <c r="AC44" i="8"/>
  <c r="I12" i="8" s="1"/>
  <c r="AA45" i="8"/>
  <c r="AB45" i="8"/>
  <c r="AC45" i="8"/>
  <c r="I13" i="8" s="1"/>
  <c r="AA46" i="8"/>
  <c r="AB46" i="8"/>
  <c r="AC46" i="8"/>
  <c r="I14" i="8" s="1"/>
  <c r="AA47" i="8"/>
  <c r="AB47" i="8"/>
  <c r="AC47" i="8"/>
  <c r="I15" i="8" s="1"/>
  <c r="AA48" i="8"/>
  <c r="AB48" i="8"/>
  <c r="AC48" i="8"/>
  <c r="I16" i="8" s="1"/>
  <c r="AA49" i="8"/>
  <c r="AB49" i="8"/>
  <c r="AC49" i="8"/>
  <c r="I17" i="8" s="1"/>
  <c r="AA50" i="8"/>
  <c r="AB50" i="8"/>
  <c r="AC50" i="8"/>
  <c r="I18" i="8" s="1"/>
  <c r="AA51" i="8"/>
  <c r="AB51" i="8"/>
  <c r="AC51" i="8"/>
  <c r="I19" i="8" s="1"/>
  <c r="AA52" i="8"/>
  <c r="AB52" i="8"/>
  <c r="AC52" i="8"/>
  <c r="I20" i="8" s="1"/>
  <c r="AA54" i="8"/>
  <c r="AB54" i="8"/>
  <c r="AC54" i="8"/>
  <c r="I22" i="8" s="1"/>
  <c r="AA56" i="8"/>
  <c r="AB56" i="8"/>
  <c r="AC56" i="8"/>
  <c r="AA57" i="8"/>
  <c r="AB57" i="8"/>
  <c r="AC57" i="8"/>
  <c r="I25" i="8" s="1"/>
  <c r="AA59" i="8"/>
  <c r="AB59" i="8"/>
  <c r="AC59" i="8"/>
  <c r="I27" i="8" s="1"/>
  <c r="AA60" i="8"/>
  <c r="AB60" i="8"/>
  <c r="AC60" i="8"/>
  <c r="I28" i="8" s="1"/>
  <c r="AA61" i="8"/>
  <c r="AB61" i="8"/>
  <c r="AC61" i="8"/>
  <c r="I29" i="8" s="1"/>
  <c r="AC36" i="8"/>
  <c r="I4" i="8" s="1"/>
  <c r="AB36" i="8"/>
  <c r="AA36" i="8"/>
  <c r="T61" i="8"/>
  <c r="X61" i="8" s="1"/>
  <c r="U61" i="8"/>
  <c r="V61" i="8"/>
  <c r="H29" i="8" s="1"/>
  <c r="S61" i="8"/>
  <c r="G29" i="8" s="1"/>
  <c r="R61" i="8"/>
  <c r="Q61" i="8"/>
  <c r="P61" i="8"/>
  <c r="F29" i="8" s="1"/>
  <c r="O61" i="8"/>
  <c r="N61" i="8"/>
  <c r="AR35" i="8"/>
  <c r="AQ35" i="8"/>
  <c r="AP35" i="8"/>
  <c r="AO35" i="8"/>
  <c r="AN35" i="8"/>
  <c r="AM35" i="8"/>
  <c r="AI46" i="8" l="1"/>
  <c r="J14" i="8" s="1"/>
  <c r="AQ29" i="8"/>
  <c r="AP29" i="8"/>
  <c r="AM29" i="8"/>
  <c r="AR29" i="8"/>
  <c r="AK29" i="8"/>
  <c r="AN29" i="8"/>
  <c r="AO29" i="8"/>
  <c r="AL29" i="8"/>
  <c r="AD61" i="8"/>
  <c r="AJ61" i="8" s="1"/>
  <c r="AC29" i="8"/>
  <c r="AG29" i="8" s="1"/>
  <c r="AI36" i="8"/>
  <c r="J4" i="8" s="1"/>
  <c r="AI56" i="8"/>
  <c r="J24" i="8" s="1"/>
  <c r="AI37" i="8"/>
  <c r="J5" i="8" s="1"/>
  <c r="AI38" i="8"/>
  <c r="J6" i="8" s="1"/>
  <c r="AI60" i="8"/>
  <c r="J28" i="8" s="1"/>
  <c r="AI49" i="8"/>
  <c r="J17" i="8" s="1"/>
  <c r="AI40" i="8"/>
  <c r="J8" i="8" s="1"/>
  <c r="AI59" i="8"/>
  <c r="J27" i="8" s="1"/>
  <c r="AI48" i="8"/>
  <c r="J16" i="8" s="1"/>
  <c r="AI39" i="8"/>
  <c r="J7" i="8" s="1"/>
  <c r="AI57" i="8"/>
  <c r="J25" i="8" s="1"/>
  <c r="AI47" i="8"/>
  <c r="J15" i="8" s="1"/>
  <c r="AI54" i="8"/>
  <c r="J22" i="8" s="1"/>
  <c r="AI45" i="8"/>
  <c r="J13" i="8" s="1"/>
  <c r="AH62" i="8"/>
  <c r="AH64" i="8" s="1"/>
  <c r="AQ61" i="8"/>
  <c r="AT61" i="8"/>
  <c r="AN61" i="8"/>
  <c r="Y61" i="8"/>
  <c r="Z61" i="8" s="1"/>
  <c r="K29" i="8" s="1"/>
  <c r="AE61" i="8"/>
  <c r="AK61" i="8"/>
  <c r="AW61" i="8"/>
  <c r="AI52" i="8"/>
  <c r="J20" i="8" s="1"/>
  <c r="AI44" i="8"/>
  <c r="J12" i="8" s="1"/>
  <c r="AI51" i="8"/>
  <c r="J19" i="8" s="1"/>
  <c r="AI43" i="8"/>
  <c r="J11" i="8" s="1"/>
  <c r="AA62" i="8"/>
  <c r="AA64" i="8" s="1"/>
  <c r="AB62" i="8"/>
  <c r="AC62" i="8" s="1"/>
  <c r="I30" i="8" s="1"/>
  <c r="AI50" i="8"/>
  <c r="J18" i="8" s="1"/>
  <c r="AI42" i="8"/>
  <c r="J10" i="8" s="1"/>
  <c r="AB64" i="8"/>
  <c r="AC64" i="8" s="1"/>
  <c r="I32" i="8" s="1"/>
  <c r="AG62" i="8"/>
  <c r="AL61" i="8" l="1"/>
  <c r="L29" i="8" s="1"/>
  <c r="AF61" i="8"/>
  <c r="AM61" i="8"/>
  <c r="AP61" i="8" s="1"/>
  <c r="AD29" i="8"/>
  <c r="AH29" i="8" s="1"/>
  <c r="Y29" i="8"/>
  <c r="O29" i="8"/>
  <c r="AO61" i="8"/>
  <c r="AR61" i="8"/>
  <c r="M29" i="8" s="1"/>
  <c r="AI62" i="8"/>
  <c r="J30" i="8" s="1"/>
  <c r="AG64" i="8"/>
  <c r="AI64" i="8" s="1"/>
  <c r="J32" i="8" s="1"/>
  <c r="Q29" i="8" l="1"/>
  <c r="AA29" i="8"/>
  <c r="Z29" i="8"/>
  <c r="P29" i="8"/>
  <c r="AS61" i="8"/>
  <c r="AE29" i="8"/>
  <c r="AI29" i="8" s="1"/>
  <c r="BP41" i="21"/>
  <c r="BP58" i="21"/>
  <c r="BP55" i="21"/>
  <c r="BP53" i="21"/>
  <c r="BP63" i="21"/>
  <c r="BP60" i="21"/>
  <c r="BP59" i="21"/>
  <c r="BP57" i="21"/>
  <c r="BP56" i="21"/>
  <c r="BP54" i="21"/>
  <c r="BP52" i="21"/>
  <c r="BP51" i="21"/>
  <c r="BP50" i="21"/>
  <c r="BP49" i="21"/>
  <c r="BP48" i="21"/>
  <c r="BP47" i="21"/>
  <c r="BP46" i="21"/>
  <c r="BP45" i="21"/>
  <c r="BP44" i="21"/>
  <c r="BP43" i="21"/>
  <c r="BP42" i="21"/>
  <c r="BP40" i="21"/>
  <c r="BP39" i="21"/>
  <c r="BP38" i="21"/>
  <c r="BP37" i="21"/>
  <c r="BP36" i="21"/>
  <c r="BJ58" i="21"/>
  <c r="BJ55" i="21"/>
  <c r="BJ53" i="21"/>
  <c r="BJ41" i="21"/>
  <c r="BJ63" i="21"/>
  <c r="BJ60" i="21"/>
  <c r="BJ59" i="21"/>
  <c r="BJ57" i="21"/>
  <c r="BJ56" i="21"/>
  <c r="BJ54" i="21"/>
  <c r="BJ52" i="21"/>
  <c r="BJ51" i="21"/>
  <c r="BJ50" i="21"/>
  <c r="BJ49" i="21"/>
  <c r="BJ48" i="21"/>
  <c r="BJ47" i="21"/>
  <c r="BJ46" i="21"/>
  <c r="BJ45" i="21"/>
  <c r="BJ44" i="21"/>
  <c r="BJ43" i="21"/>
  <c r="BJ42" i="21"/>
  <c r="BJ40" i="21"/>
  <c r="BJ39" i="21"/>
  <c r="BJ38" i="21"/>
  <c r="BJ37" i="21"/>
  <c r="BJ36" i="21"/>
  <c r="AZ63" i="21"/>
  <c r="AZ37" i="21"/>
  <c r="AZ38" i="21"/>
  <c r="AZ39" i="21"/>
  <c r="AZ40" i="21"/>
  <c r="AZ41" i="21"/>
  <c r="AZ42" i="21"/>
  <c r="AZ43" i="21"/>
  <c r="AZ44" i="21"/>
  <c r="AZ45" i="21"/>
  <c r="AZ46" i="21"/>
  <c r="AZ47" i="21"/>
  <c r="AZ48" i="21"/>
  <c r="AZ49" i="21"/>
  <c r="AZ50" i="21"/>
  <c r="AZ51" i="21"/>
  <c r="AZ52" i="21"/>
  <c r="AZ53" i="21"/>
  <c r="AZ54" i="21"/>
  <c r="AZ55" i="21"/>
  <c r="AZ56" i="21"/>
  <c r="AZ57" i="21"/>
  <c r="AZ58" i="21"/>
  <c r="AZ59" i="21"/>
  <c r="AZ60" i="21"/>
  <c r="AZ61" i="21"/>
  <c r="AZ36" i="21"/>
  <c r="AY63" i="21"/>
  <c r="AY37" i="21"/>
  <c r="AY38" i="21"/>
  <c r="AY39" i="21"/>
  <c r="AY40" i="21"/>
  <c r="AY41" i="21"/>
  <c r="AY42" i="21"/>
  <c r="AY43" i="21"/>
  <c r="AY44" i="21"/>
  <c r="AY45" i="21"/>
  <c r="AY46" i="21"/>
  <c r="AY47" i="21"/>
  <c r="AY48" i="21"/>
  <c r="AY49" i="21"/>
  <c r="AY50" i="21"/>
  <c r="AY51" i="21"/>
  <c r="AY52" i="21"/>
  <c r="AY53" i="21"/>
  <c r="AY54" i="21"/>
  <c r="AY55" i="21"/>
  <c r="AY56" i="21"/>
  <c r="AY57" i="21"/>
  <c r="AY58" i="21"/>
  <c r="AY59" i="21"/>
  <c r="AY60" i="21"/>
  <c r="AY61" i="21"/>
  <c r="AY36" i="21"/>
  <c r="BA36" i="21" s="1"/>
  <c r="BB36" i="21" s="1"/>
  <c r="J4" i="21" s="1"/>
  <c r="AP63" i="21"/>
  <c r="AP37" i="21"/>
  <c r="AP38" i="21"/>
  <c r="AP39" i="21"/>
  <c r="AP40" i="21"/>
  <c r="AP41" i="21"/>
  <c r="AP42" i="21"/>
  <c r="AP43" i="21"/>
  <c r="AP44" i="21"/>
  <c r="AP45" i="21"/>
  <c r="AP46" i="21"/>
  <c r="AP47" i="21"/>
  <c r="AP48" i="21"/>
  <c r="AP49" i="21"/>
  <c r="AP50" i="21"/>
  <c r="AP51" i="21"/>
  <c r="AP52" i="21"/>
  <c r="AP53" i="21"/>
  <c r="AP54" i="21"/>
  <c r="AP55" i="21"/>
  <c r="AP56" i="21"/>
  <c r="AP57" i="21"/>
  <c r="AP58" i="21"/>
  <c r="AP59" i="21"/>
  <c r="AP60" i="21"/>
  <c r="AP61" i="21"/>
  <c r="AP36" i="21"/>
  <c r="AO63" i="21"/>
  <c r="AO61" i="21"/>
  <c r="AO37" i="21"/>
  <c r="AO38" i="21"/>
  <c r="AO39" i="21"/>
  <c r="AO40" i="21"/>
  <c r="AO41" i="21"/>
  <c r="AQ41" i="21" s="1"/>
  <c r="AO42" i="21"/>
  <c r="AO43" i="21"/>
  <c r="AO44" i="21"/>
  <c r="AO45" i="21"/>
  <c r="AO46" i="21"/>
  <c r="AO47" i="21"/>
  <c r="AO48" i="21"/>
  <c r="AO49" i="21"/>
  <c r="AQ49" i="21" s="1"/>
  <c r="AO50" i="21"/>
  <c r="AO51" i="21"/>
  <c r="AO52" i="21"/>
  <c r="AO53" i="21"/>
  <c r="AO54" i="21"/>
  <c r="AO55" i="21"/>
  <c r="AO56" i="21"/>
  <c r="AO57" i="21"/>
  <c r="AQ57" i="21" s="1"/>
  <c r="AO58" i="21"/>
  <c r="AO59" i="21"/>
  <c r="AO60" i="21"/>
  <c r="AO36" i="21"/>
  <c r="Z61" i="21"/>
  <c r="AI61" i="21" s="1"/>
  <c r="AK61" i="21" s="1"/>
  <c r="AA61" i="21"/>
  <c r="AL61" i="21" s="1"/>
  <c r="AV61" i="21" s="1"/>
  <c r="BF61" i="21" s="1"/>
  <c r="BL61" i="21" s="1"/>
  <c r="BR61" i="21" s="1"/>
  <c r="BX61" i="21" s="1"/>
  <c r="CD61" i="21" s="1"/>
  <c r="V61" i="21"/>
  <c r="W61" i="21"/>
  <c r="S61" i="21"/>
  <c r="R61" i="21"/>
  <c r="J9" i="12"/>
  <c r="J21" i="12"/>
  <c r="J23" i="12"/>
  <c r="J26" i="12"/>
  <c r="I9" i="12"/>
  <c r="I21" i="12"/>
  <c r="I23" i="12"/>
  <c r="I26" i="12"/>
  <c r="AO39" i="12"/>
  <c r="AV61" i="8" l="1"/>
  <c r="AU61" i="8"/>
  <c r="AS61" i="21"/>
  <c r="BA53" i="21"/>
  <c r="BB53" i="21" s="1"/>
  <c r="J21" i="21" s="1"/>
  <c r="BA55" i="21"/>
  <c r="BB55" i="21" s="1"/>
  <c r="J23" i="21" s="1"/>
  <c r="BA39" i="21"/>
  <c r="BB39" i="21" s="1"/>
  <c r="J7" i="21" s="1"/>
  <c r="BA57" i="21"/>
  <c r="BB57" i="21" s="1"/>
  <c r="J25" i="21" s="1"/>
  <c r="BA49" i="21"/>
  <c r="BB49" i="21" s="1"/>
  <c r="J17" i="21" s="1"/>
  <c r="BA40" i="21"/>
  <c r="BB40" i="21" s="1"/>
  <c r="J8" i="21" s="1"/>
  <c r="BA59" i="21"/>
  <c r="BB59" i="21" s="1"/>
  <c r="J27" i="21" s="1"/>
  <c r="BA51" i="21"/>
  <c r="BB51" i="21" s="1"/>
  <c r="J19" i="21" s="1"/>
  <c r="BA43" i="21"/>
  <c r="BB43" i="21" s="1"/>
  <c r="J11" i="21" s="1"/>
  <c r="BA37" i="21"/>
  <c r="BB37" i="21" s="1"/>
  <c r="J5" i="21" s="1"/>
  <c r="BA41" i="21"/>
  <c r="BB41" i="21" s="1"/>
  <c r="J9" i="21" s="1"/>
  <c r="BA48" i="21"/>
  <c r="BB48" i="21" s="1"/>
  <c r="J16" i="21" s="1"/>
  <c r="BA61" i="21"/>
  <c r="BB61" i="21" s="1"/>
  <c r="J29" i="21" s="1"/>
  <c r="BA45" i="21"/>
  <c r="BB45" i="21" s="1"/>
  <c r="J13" i="21" s="1"/>
  <c r="BA52" i="21"/>
  <c r="BB52" i="21" s="1"/>
  <c r="J20" i="21" s="1"/>
  <c r="BA63" i="21"/>
  <c r="BB63" i="21" s="1"/>
  <c r="J31" i="21" s="1"/>
  <c r="BA47" i="21"/>
  <c r="BB47" i="21" s="1"/>
  <c r="J15" i="21" s="1"/>
  <c r="AZ62" i="21"/>
  <c r="AZ64" i="21" s="1"/>
  <c r="BA54" i="21"/>
  <c r="BB54" i="21" s="1"/>
  <c r="J22" i="21" s="1"/>
  <c r="BA46" i="21"/>
  <c r="BB46" i="21" s="1"/>
  <c r="J14" i="21" s="1"/>
  <c r="BA38" i="21"/>
  <c r="BB38" i="21" s="1"/>
  <c r="J6" i="21" s="1"/>
  <c r="BA44" i="21"/>
  <c r="BB44" i="21" s="1"/>
  <c r="J12" i="21" s="1"/>
  <c r="BA60" i="21"/>
  <c r="BB60" i="21" s="1"/>
  <c r="J28" i="21" s="1"/>
  <c r="BA50" i="21"/>
  <c r="BB50" i="21" s="1"/>
  <c r="J18" i="21" s="1"/>
  <c r="BA56" i="21"/>
  <c r="BB56" i="21" s="1"/>
  <c r="J24" i="21" s="1"/>
  <c r="AQ54" i="21"/>
  <c r="AR54" i="21" s="1"/>
  <c r="I22" i="21" s="1"/>
  <c r="AQ38" i="21"/>
  <c r="AR38" i="21" s="1"/>
  <c r="I6" i="21" s="1"/>
  <c r="AY62" i="21"/>
  <c r="BA42" i="21"/>
  <c r="BB42" i="21" s="1"/>
  <c r="J10" i="21" s="1"/>
  <c r="BA58" i="21"/>
  <c r="BB58" i="21" s="1"/>
  <c r="J26" i="21" s="1"/>
  <c r="AQ59" i="21"/>
  <c r="AR59" i="21" s="1"/>
  <c r="I27" i="21" s="1"/>
  <c r="AQ51" i="21"/>
  <c r="AR51" i="21" s="1"/>
  <c r="I19" i="21" s="1"/>
  <c r="AQ43" i="21"/>
  <c r="AR43" i="21" s="1"/>
  <c r="I11" i="21" s="1"/>
  <c r="AQ58" i="21"/>
  <c r="AR58" i="21" s="1"/>
  <c r="I26" i="21" s="1"/>
  <c r="AQ50" i="21"/>
  <c r="AR50" i="21" s="1"/>
  <c r="I18" i="21" s="1"/>
  <c r="AQ42" i="21"/>
  <c r="AR42" i="21" s="1"/>
  <c r="I10" i="21" s="1"/>
  <c r="AP62" i="21"/>
  <c r="AP64" i="21" s="1"/>
  <c r="AQ56" i="21"/>
  <c r="AR56" i="21" s="1"/>
  <c r="I24" i="21" s="1"/>
  <c r="AQ48" i="21"/>
  <c r="AR48" i="21" s="1"/>
  <c r="I16" i="21" s="1"/>
  <c r="AQ40" i="21"/>
  <c r="AR40" i="21" s="1"/>
  <c r="I8" i="21" s="1"/>
  <c r="AQ46" i="21"/>
  <c r="AR46" i="21" s="1"/>
  <c r="I14" i="21" s="1"/>
  <c r="AO62" i="21"/>
  <c r="AQ37" i="21"/>
  <c r="AR37" i="21" s="1"/>
  <c r="I5" i="21" s="1"/>
  <c r="AQ63" i="21"/>
  <c r="AR63" i="21" s="1"/>
  <c r="I31" i="21" s="1"/>
  <c r="AQ55" i="21"/>
  <c r="AR55" i="21" s="1"/>
  <c r="I23" i="21" s="1"/>
  <c r="AQ47" i="21"/>
  <c r="AR47" i="21" s="1"/>
  <c r="I15" i="21" s="1"/>
  <c r="AQ39" i="21"/>
  <c r="AR39" i="21" s="1"/>
  <c r="I7" i="21" s="1"/>
  <c r="AQ61" i="21"/>
  <c r="AR61" i="21" s="1"/>
  <c r="I29" i="21" s="1"/>
  <c r="AQ53" i="21"/>
  <c r="AR53" i="21" s="1"/>
  <c r="I21" i="21" s="1"/>
  <c r="AQ45" i="21"/>
  <c r="AR45" i="21" s="1"/>
  <c r="I13" i="21" s="1"/>
  <c r="AR57" i="21"/>
  <c r="I25" i="21" s="1"/>
  <c r="AR49" i="21"/>
  <c r="I17" i="21" s="1"/>
  <c r="AR41" i="21"/>
  <c r="I9" i="21" s="1"/>
  <c r="AQ60" i="21"/>
  <c r="AR60" i="21" s="1"/>
  <c r="I28" i="21" s="1"/>
  <c r="AQ52" i="21"/>
  <c r="AR52" i="21" s="1"/>
  <c r="I20" i="21" s="1"/>
  <c r="AQ44" i="21"/>
  <c r="AR44" i="21" s="1"/>
  <c r="I12" i="21" s="1"/>
  <c r="AQ36" i="21"/>
  <c r="AR36" i="21" s="1"/>
  <c r="I4" i="21" s="1"/>
  <c r="X61" i="21"/>
  <c r="Y61" i="21" s="1"/>
  <c r="G29" i="21" s="1"/>
  <c r="T61" i="21"/>
  <c r="U61" i="21" s="1"/>
  <c r="F29" i="21" s="1"/>
  <c r="AB61" i="21"/>
  <c r="BP37" i="12"/>
  <c r="BP38" i="12"/>
  <c r="BP39" i="12"/>
  <c r="BP40" i="12"/>
  <c r="BP42" i="12"/>
  <c r="BP43" i="12"/>
  <c r="BP44" i="12"/>
  <c r="BP45" i="12"/>
  <c r="BP46" i="12"/>
  <c r="BP47" i="12"/>
  <c r="BP48" i="12"/>
  <c r="BP49" i="12"/>
  <c r="BP50" i="12"/>
  <c r="BP51" i="12"/>
  <c r="BP52" i="12"/>
  <c r="BP54" i="12"/>
  <c r="BP56" i="12"/>
  <c r="BP57" i="12"/>
  <c r="BP59" i="12"/>
  <c r="BP60" i="12"/>
  <c r="BP63" i="12"/>
  <c r="BP36" i="12"/>
  <c r="BJ60" i="12"/>
  <c r="BJ63" i="12"/>
  <c r="BD63" i="12"/>
  <c r="AO36" i="12"/>
  <c r="BJ37" i="12"/>
  <c r="BJ38" i="12"/>
  <c r="BJ39" i="12"/>
  <c r="BJ40" i="12"/>
  <c r="BJ42" i="12"/>
  <c r="BJ43" i="12"/>
  <c r="BJ44" i="12"/>
  <c r="BJ45" i="12"/>
  <c r="BJ46" i="12"/>
  <c r="BJ47" i="12"/>
  <c r="BJ48" i="12"/>
  <c r="BJ49" i="12"/>
  <c r="BJ50" i="12"/>
  <c r="BJ51" i="12"/>
  <c r="BJ52" i="12"/>
  <c r="BJ54" i="12"/>
  <c r="BJ56" i="12"/>
  <c r="BJ57" i="12"/>
  <c r="BJ59" i="12"/>
  <c r="BJ36" i="12"/>
  <c r="AZ37" i="12"/>
  <c r="AZ38" i="12"/>
  <c r="AZ39" i="12"/>
  <c r="AZ40" i="12"/>
  <c r="AZ42" i="12"/>
  <c r="AZ43" i="12"/>
  <c r="AZ44" i="12"/>
  <c r="AZ45" i="12"/>
  <c r="AZ46" i="12"/>
  <c r="AZ47" i="12"/>
  <c r="AZ48" i="12"/>
  <c r="AZ49" i="12"/>
  <c r="AZ50" i="12"/>
  <c r="AZ51" i="12"/>
  <c r="AZ52" i="12"/>
  <c r="AZ54" i="12"/>
  <c r="AZ56" i="12"/>
  <c r="AZ57" i="12"/>
  <c r="AZ59" i="12"/>
  <c r="AZ60" i="12"/>
  <c r="AZ61" i="12"/>
  <c r="AZ63" i="12"/>
  <c r="AY37" i="12"/>
  <c r="AY38" i="12"/>
  <c r="BA38" i="12" s="1"/>
  <c r="AY39" i="12"/>
  <c r="BA39" i="12" s="1"/>
  <c r="AY40" i="12"/>
  <c r="AY42" i="12"/>
  <c r="AY43" i="12"/>
  <c r="BA43" i="12" s="1"/>
  <c r="AY44" i="12"/>
  <c r="BA44" i="12" s="1"/>
  <c r="AY45" i="12"/>
  <c r="AY46" i="12"/>
  <c r="AY47" i="12"/>
  <c r="BA47" i="12" s="1"/>
  <c r="AY48" i="12"/>
  <c r="BA48" i="12" s="1"/>
  <c r="AY49" i="12"/>
  <c r="AY50" i="12"/>
  <c r="AY51" i="12"/>
  <c r="BA51" i="12" s="1"/>
  <c r="AY52" i="12"/>
  <c r="BA52" i="12" s="1"/>
  <c r="AY54" i="12"/>
  <c r="AY56" i="12"/>
  <c r="AY57" i="12"/>
  <c r="BA57" i="12" s="1"/>
  <c r="AY59" i="12"/>
  <c r="AY60" i="12"/>
  <c r="AY61" i="12"/>
  <c r="AY63" i="12"/>
  <c r="BA63" i="12" s="1"/>
  <c r="BA36" i="12"/>
  <c r="BB36" i="12" s="1"/>
  <c r="J4" i="12" s="1"/>
  <c r="AZ36" i="12"/>
  <c r="AY36" i="12"/>
  <c r="AP63" i="12"/>
  <c r="AP37" i="12"/>
  <c r="AP38" i="12"/>
  <c r="AP39" i="12"/>
  <c r="AQ39" i="12" s="1"/>
  <c r="AR39" i="12" s="1"/>
  <c r="I7" i="12" s="1"/>
  <c r="AP40" i="12"/>
  <c r="AP42" i="12"/>
  <c r="AP43" i="12"/>
  <c r="AP44" i="12"/>
  <c r="AP45" i="12"/>
  <c r="AP46" i="12"/>
  <c r="AP47" i="12"/>
  <c r="AP48" i="12"/>
  <c r="AP49" i="12"/>
  <c r="AP50" i="12"/>
  <c r="AP51" i="12"/>
  <c r="AP52" i="12"/>
  <c r="AP54" i="12"/>
  <c r="AP56" i="12"/>
  <c r="AP57" i="12"/>
  <c r="AP59" i="12"/>
  <c r="AP60" i="12"/>
  <c r="AP61" i="12"/>
  <c r="AO63" i="12"/>
  <c r="AO61" i="12"/>
  <c r="AO38" i="12"/>
  <c r="AQ38" i="12" s="1"/>
  <c r="AR38" i="12" s="1"/>
  <c r="I6" i="12" s="1"/>
  <c r="AO40" i="12"/>
  <c r="AO42" i="12"/>
  <c r="AO43" i="12"/>
  <c r="AQ43" i="12" s="1"/>
  <c r="AR43" i="12" s="1"/>
  <c r="I11" i="12" s="1"/>
  <c r="AO44" i="12"/>
  <c r="AO45" i="12"/>
  <c r="AO46" i="12"/>
  <c r="AO47" i="12"/>
  <c r="AO48" i="12"/>
  <c r="AO49" i="12"/>
  <c r="AO50" i="12"/>
  <c r="AO51" i="12"/>
  <c r="AQ51" i="12" s="1"/>
  <c r="AR51" i="12" s="1"/>
  <c r="I19" i="12" s="1"/>
  <c r="AO52" i="12"/>
  <c r="AO54" i="12"/>
  <c r="AO56" i="12"/>
  <c r="AO57" i="12"/>
  <c r="AO59" i="12"/>
  <c r="AO60" i="12"/>
  <c r="AO37" i="12"/>
  <c r="AP36" i="12"/>
  <c r="AF29" i="8" l="1"/>
  <c r="AJ29" i="8" s="1"/>
  <c r="AX61" i="8"/>
  <c r="N29" i="8" s="1"/>
  <c r="AC61" i="21"/>
  <c r="H29" i="21" s="1"/>
  <c r="CE61" i="21"/>
  <c r="BM61" i="21"/>
  <c r="BK61" i="21" s="1"/>
  <c r="AW61" i="21"/>
  <c r="AU61" i="21" s="1"/>
  <c r="BY61" i="21"/>
  <c r="BW61" i="21" s="1"/>
  <c r="AM61" i="21"/>
  <c r="BS61" i="21"/>
  <c r="BG61" i="21"/>
  <c r="AQ60" i="12"/>
  <c r="AR60" i="12" s="1"/>
  <c r="I28" i="12" s="1"/>
  <c r="AQ49" i="12"/>
  <c r="AR49" i="12" s="1"/>
  <c r="I17" i="12" s="1"/>
  <c r="AQ40" i="12"/>
  <c r="AR40" i="12" s="1"/>
  <c r="I8" i="12" s="1"/>
  <c r="AQ61" i="12"/>
  <c r="AR61" i="12" s="1"/>
  <c r="I29" i="12" s="1"/>
  <c r="AQ52" i="12"/>
  <c r="AR52" i="12" s="1"/>
  <c r="I20" i="12" s="1"/>
  <c r="BA46" i="12"/>
  <c r="BB46" i="12" s="1"/>
  <c r="J14" i="12" s="1"/>
  <c r="BA37" i="12"/>
  <c r="BB37" i="12" s="1"/>
  <c r="J5" i="12" s="1"/>
  <c r="AQ46" i="12"/>
  <c r="AR46" i="12" s="1"/>
  <c r="I14" i="12" s="1"/>
  <c r="BA42" i="12"/>
  <c r="AQ37" i="12"/>
  <c r="AQ50" i="12"/>
  <c r="AQ42" i="12"/>
  <c r="AY62" i="12"/>
  <c r="BA62" i="12" s="1"/>
  <c r="BB62" i="12" s="1"/>
  <c r="J30" i="12" s="1"/>
  <c r="BA56" i="12"/>
  <c r="BB56" i="12" s="1"/>
  <c r="J24" i="12" s="1"/>
  <c r="AZ62" i="12"/>
  <c r="BA54" i="12"/>
  <c r="BB54" i="12" s="1"/>
  <c r="J22" i="12" s="1"/>
  <c r="BA45" i="12"/>
  <c r="AQ44" i="12"/>
  <c r="AR44" i="12" s="1"/>
  <c r="I12" i="12" s="1"/>
  <c r="AQ63" i="12"/>
  <c r="AR63" i="12" s="1"/>
  <c r="I31" i="12" s="1"/>
  <c r="BA61" i="12"/>
  <c r="BB61" i="12" s="1"/>
  <c r="J29" i="12" s="1"/>
  <c r="BA50" i="12"/>
  <c r="BB50" i="12" s="1"/>
  <c r="J18" i="12" s="1"/>
  <c r="AR37" i="12"/>
  <c r="I5" i="12" s="1"/>
  <c r="AQ48" i="12"/>
  <c r="AR48" i="12" s="1"/>
  <c r="I16" i="12" s="1"/>
  <c r="AQ56" i="12"/>
  <c r="AR56" i="12" s="1"/>
  <c r="I24" i="12" s="1"/>
  <c r="BB48" i="12"/>
  <c r="J16" i="12" s="1"/>
  <c r="BB39" i="12"/>
  <c r="J7" i="12" s="1"/>
  <c r="AQ59" i="12"/>
  <c r="AR59" i="12" s="1"/>
  <c r="I27" i="12" s="1"/>
  <c r="BA59" i="12"/>
  <c r="BB59" i="12" s="1"/>
  <c r="J27" i="12" s="1"/>
  <c r="AY64" i="21"/>
  <c r="BA62" i="21"/>
  <c r="BB62" i="21" s="1"/>
  <c r="J30" i="21" s="1"/>
  <c r="AQ62" i="21"/>
  <c r="AR62" i="21" s="1"/>
  <c r="I30" i="21" s="1"/>
  <c r="AO64" i="21"/>
  <c r="AQ64" i="21" s="1"/>
  <c r="AR64" i="21" s="1"/>
  <c r="I32" i="21" s="1"/>
  <c r="AQ45" i="12"/>
  <c r="AR45" i="12" s="1"/>
  <c r="I13" i="12" s="1"/>
  <c r="AQ54" i="12"/>
  <c r="AR54" i="12" s="1"/>
  <c r="I22" i="12" s="1"/>
  <c r="AR50" i="12"/>
  <c r="I18" i="12" s="1"/>
  <c r="AR42" i="12"/>
  <c r="I10" i="12" s="1"/>
  <c r="BA60" i="12"/>
  <c r="BB60" i="12" s="1"/>
  <c r="J28" i="12" s="1"/>
  <c r="BA49" i="12"/>
  <c r="BB49" i="12" s="1"/>
  <c r="J17" i="12" s="1"/>
  <c r="BA40" i="12"/>
  <c r="BB40" i="12" s="1"/>
  <c r="J8" i="12" s="1"/>
  <c r="BB57" i="12"/>
  <c r="J25" i="12" s="1"/>
  <c r="BB47" i="12"/>
  <c r="J15" i="12" s="1"/>
  <c r="BB38" i="12"/>
  <c r="J6" i="12" s="1"/>
  <c r="AQ47" i="12"/>
  <c r="AR47" i="12" s="1"/>
  <c r="I15" i="12" s="1"/>
  <c r="AQ57" i="12"/>
  <c r="AR57" i="12" s="1"/>
  <c r="I25" i="12" s="1"/>
  <c r="BB45" i="12"/>
  <c r="J13" i="12" s="1"/>
  <c r="BB52" i="12"/>
  <c r="J20" i="12" s="1"/>
  <c r="BB44" i="12"/>
  <c r="J12" i="12" s="1"/>
  <c r="BB63" i="12"/>
  <c r="J31" i="12" s="1"/>
  <c r="BB51" i="12"/>
  <c r="J19" i="12" s="1"/>
  <c r="BB43" i="12"/>
  <c r="J11" i="12" s="1"/>
  <c r="BB42" i="12"/>
  <c r="J10" i="12" s="1"/>
  <c r="AP62" i="12"/>
  <c r="AP64" i="12" s="1"/>
  <c r="AO62" i="12"/>
  <c r="AO64" i="12" s="1"/>
  <c r="AQ36" i="12"/>
  <c r="AR36" i="12" s="1"/>
  <c r="I4" i="12" s="1"/>
  <c r="AZ64" i="12"/>
  <c r="R29" i="8" l="1"/>
  <c r="AB29" i="8"/>
  <c r="BE61" i="21"/>
  <c r="AD29" i="21"/>
  <c r="AH29" i="21" s="1"/>
  <c r="AF29" i="21"/>
  <c r="AJ29" i="21" s="1"/>
  <c r="CC61" i="21"/>
  <c r="CF61" i="21" s="1"/>
  <c r="N29" i="21" s="1"/>
  <c r="BQ61" i="21"/>
  <c r="AE29" i="21"/>
  <c r="AI29" i="21" s="1"/>
  <c r="AC29" i="21"/>
  <c r="AG29" i="21" s="1"/>
  <c r="AN61" i="21"/>
  <c r="K29" i="21" s="1"/>
  <c r="CA61" i="21"/>
  <c r="BZ61" i="21"/>
  <c r="AX61" i="21"/>
  <c r="BC61" i="21"/>
  <c r="BN61" i="21"/>
  <c r="BO61" i="21"/>
  <c r="AQ64" i="12"/>
  <c r="AR64" i="12" s="1"/>
  <c r="I32" i="12" s="1"/>
  <c r="AY64" i="12"/>
  <c r="BA64" i="12" s="1"/>
  <c r="BB64" i="12" s="1"/>
  <c r="J32" i="12" s="1"/>
  <c r="BA64" i="21"/>
  <c r="BB64" i="21" s="1"/>
  <c r="J32" i="21" s="1"/>
  <c r="AQ62" i="12"/>
  <c r="AR62" i="12" s="1"/>
  <c r="I30" i="12" s="1"/>
  <c r="BH61" i="21" l="1"/>
  <c r="L29" i="21" s="1"/>
  <c r="BI61" i="21"/>
  <c r="O29" i="21"/>
  <c r="Y29" i="21"/>
  <c r="AB29" i="21"/>
  <c r="R29" i="21"/>
  <c r="BU61" i="21"/>
  <c r="BT61" i="21"/>
  <c r="M29" i="21" s="1"/>
  <c r="AA61" i="12"/>
  <c r="Z61" i="12"/>
  <c r="AI61" i="12" s="1"/>
  <c r="AK61" i="12" s="1"/>
  <c r="W61" i="12"/>
  <c r="V61" i="12"/>
  <c r="S61" i="12"/>
  <c r="R61" i="12"/>
  <c r="H30" i="25"/>
  <c r="G30" i="25"/>
  <c r="I30" i="25" s="1"/>
  <c r="F30" i="25"/>
  <c r="D30" i="25"/>
  <c r="C30" i="25"/>
  <c r="E30" i="25" s="1"/>
  <c r="B30" i="25"/>
  <c r="O30" i="25"/>
  <c r="L30" i="25"/>
  <c r="O30" i="24"/>
  <c r="J30" i="18"/>
  <c r="N30" i="17"/>
  <c r="G30" i="17" s="1"/>
  <c r="M30" i="17"/>
  <c r="O30" i="17" s="1"/>
  <c r="H30" i="17" s="1"/>
  <c r="K30" i="17"/>
  <c r="J30" i="17"/>
  <c r="L30" i="17" s="1"/>
  <c r="D30" i="17" s="1"/>
  <c r="E30" i="17" s="1"/>
  <c r="C30" i="17"/>
  <c r="C61" i="17"/>
  <c r="B61" i="17"/>
  <c r="D61" i="17" s="1"/>
  <c r="O32" i="17"/>
  <c r="N32" i="17"/>
  <c r="M32" i="17"/>
  <c r="L32" i="17"/>
  <c r="K32" i="17"/>
  <c r="J32" i="17"/>
  <c r="B61" i="18"/>
  <c r="D61" i="18"/>
  <c r="C61" i="18"/>
  <c r="O32" i="18"/>
  <c r="N32" i="18"/>
  <c r="M32" i="18"/>
  <c r="L32" i="18"/>
  <c r="K32" i="18"/>
  <c r="J32" i="18"/>
  <c r="O32" i="20"/>
  <c r="N32" i="20"/>
  <c r="M32" i="20"/>
  <c r="L32" i="20"/>
  <c r="K32" i="20"/>
  <c r="J32" i="20"/>
  <c r="F30" i="18"/>
  <c r="G30" i="18"/>
  <c r="I30" i="18" s="1"/>
  <c r="H30" i="18"/>
  <c r="E30" i="18"/>
  <c r="D30" i="18"/>
  <c r="C30" i="18"/>
  <c r="B30" i="18"/>
  <c r="N30" i="18"/>
  <c r="M30" i="18"/>
  <c r="O30" i="18" s="1"/>
  <c r="K30" i="18"/>
  <c r="L30" i="18"/>
  <c r="D61" i="20"/>
  <c r="C61" i="20"/>
  <c r="B61" i="20"/>
  <c r="Q29" i="21" l="1"/>
  <c r="AA29" i="21"/>
  <c r="P29" i="21"/>
  <c r="Z29" i="21"/>
  <c r="AS61" i="12"/>
  <c r="X61" i="12"/>
  <c r="Y61" i="12" s="1"/>
  <c r="G29" i="12" s="1"/>
  <c r="T61" i="12"/>
  <c r="U61" i="12" s="1"/>
  <c r="F29" i="12" s="1"/>
  <c r="AB61" i="12"/>
  <c r="I30" i="17"/>
  <c r="F30" i="17"/>
  <c r="B30" i="17"/>
  <c r="O30" i="20"/>
  <c r="H30" i="20" s="1"/>
  <c r="N30" i="20"/>
  <c r="G30" i="20" s="1"/>
  <c r="M30" i="20"/>
  <c r="F30" i="20" s="1"/>
  <c r="K30" i="20"/>
  <c r="C30" i="20" s="1"/>
  <c r="J30" i="20"/>
  <c r="B30" i="20" s="1"/>
  <c r="D61" i="25"/>
  <c r="L32" i="25"/>
  <c r="M32" i="25"/>
  <c r="N32" i="25"/>
  <c r="K32" i="25"/>
  <c r="J32" i="25"/>
  <c r="D61" i="24"/>
  <c r="D36" i="24"/>
  <c r="D37" i="24"/>
  <c r="D38" i="24"/>
  <c r="D39" i="24"/>
  <c r="D40" i="24"/>
  <c r="D42" i="24"/>
  <c r="D43" i="24"/>
  <c r="D44" i="24"/>
  <c r="D45" i="24"/>
  <c r="D46" i="24"/>
  <c r="D47" i="24"/>
  <c r="D48" i="24"/>
  <c r="D49" i="24"/>
  <c r="D50" i="24"/>
  <c r="D51" i="24"/>
  <c r="D52" i="24"/>
  <c r="D54" i="24"/>
  <c r="D56" i="24"/>
  <c r="D57" i="24"/>
  <c r="D59" i="24"/>
  <c r="D60" i="24"/>
  <c r="F30" i="24"/>
  <c r="G30" i="24"/>
  <c r="H30" i="24"/>
  <c r="E30" i="24"/>
  <c r="D30" i="24"/>
  <c r="C30" i="24"/>
  <c r="B30" i="24"/>
  <c r="O32" i="24"/>
  <c r="N32" i="24"/>
  <c r="M32" i="24"/>
  <c r="L30" i="24"/>
  <c r="K32" i="24"/>
  <c r="L32" i="24"/>
  <c r="J32" i="24"/>
  <c r="AC61" i="12" l="1"/>
  <c r="H29" i="12" s="1"/>
  <c r="BS61" i="12"/>
  <c r="BY61" i="12"/>
  <c r="AM61" i="12"/>
  <c r="BG61" i="12"/>
  <c r="BM61" i="12"/>
  <c r="AW61" i="12"/>
  <c r="CE61" i="12"/>
  <c r="I30" i="24"/>
  <c r="L30" i="20"/>
  <c r="D30" i="20" s="1"/>
  <c r="E30" i="20" s="1"/>
  <c r="I30" i="20"/>
  <c r="D62" i="25"/>
  <c r="D60" i="25"/>
  <c r="D59" i="25"/>
  <c r="D57" i="25"/>
  <c r="D56" i="25"/>
  <c r="D54" i="25"/>
  <c r="D52" i="25"/>
  <c r="D51" i="25"/>
  <c r="D50" i="25"/>
  <c r="D49" i="25"/>
  <c r="D48" i="25"/>
  <c r="D47" i="25"/>
  <c r="D46" i="25"/>
  <c r="D45" i="25"/>
  <c r="D44" i="25"/>
  <c r="D43" i="25"/>
  <c r="D42" i="25"/>
  <c r="D40" i="25"/>
  <c r="D39" i="25"/>
  <c r="D38" i="25"/>
  <c r="D37" i="25"/>
  <c r="D36" i="25"/>
  <c r="G32" i="25"/>
  <c r="C32" i="25"/>
  <c r="B32" i="25"/>
  <c r="F32" i="25"/>
  <c r="O31" i="25"/>
  <c r="H31" i="25" s="1"/>
  <c r="I31" i="25" s="1"/>
  <c r="L31" i="25"/>
  <c r="D31" i="25" s="1"/>
  <c r="G31" i="25"/>
  <c r="F31" i="25"/>
  <c r="C31" i="25"/>
  <c r="B31" i="25"/>
  <c r="O29" i="25"/>
  <c r="H29" i="25" s="1"/>
  <c r="L29" i="25"/>
  <c r="D29" i="25" s="1"/>
  <c r="G29" i="25"/>
  <c r="I29" i="25" s="1"/>
  <c r="F29" i="25"/>
  <c r="C29" i="25"/>
  <c r="B29" i="25"/>
  <c r="O28" i="25"/>
  <c r="H28" i="25" s="1"/>
  <c r="L28" i="25"/>
  <c r="D28" i="25" s="1"/>
  <c r="E28" i="25" s="1"/>
  <c r="G28" i="25"/>
  <c r="F28" i="25"/>
  <c r="C28" i="25"/>
  <c r="B28" i="25"/>
  <c r="O27" i="25"/>
  <c r="H27" i="25" s="1"/>
  <c r="G27" i="25"/>
  <c r="F27" i="25"/>
  <c r="C27" i="25"/>
  <c r="B27" i="25"/>
  <c r="O26" i="25"/>
  <c r="H26" i="25" s="1"/>
  <c r="L26" i="25"/>
  <c r="D26" i="25" s="1"/>
  <c r="G26" i="25"/>
  <c r="I26" i="25" s="1"/>
  <c r="F26" i="25"/>
  <c r="C26" i="25"/>
  <c r="B26" i="25"/>
  <c r="O25" i="25"/>
  <c r="L25" i="25"/>
  <c r="H25" i="25"/>
  <c r="G25" i="25"/>
  <c r="I25" i="25" s="1"/>
  <c r="F25" i="25"/>
  <c r="D25" i="25"/>
  <c r="C25" i="25"/>
  <c r="E25" i="25" s="1"/>
  <c r="B25" i="25"/>
  <c r="O24" i="25"/>
  <c r="H24" i="25" s="1"/>
  <c r="I24" i="25" s="1"/>
  <c r="G24" i="25"/>
  <c r="F24" i="25"/>
  <c r="C24" i="25"/>
  <c r="B24" i="25"/>
  <c r="O23" i="25"/>
  <c r="H23" i="25" s="1"/>
  <c r="I23" i="25" s="1"/>
  <c r="L23" i="25"/>
  <c r="G23" i="25"/>
  <c r="F23" i="25"/>
  <c r="D23" i="25"/>
  <c r="C23" i="25"/>
  <c r="E23" i="25" s="1"/>
  <c r="B23" i="25"/>
  <c r="O22" i="25"/>
  <c r="H22" i="25" s="1"/>
  <c r="G22" i="25"/>
  <c r="F22" i="25"/>
  <c r="C22" i="25"/>
  <c r="B22" i="25"/>
  <c r="O21" i="25"/>
  <c r="L21" i="25"/>
  <c r="D21" i="25" s="1"/>
  <c r="H21" i="25"/>
  <c r="G21" i="25"/>
  <c r="I21" i="25" s="1"/>
  <c r="F21" i="25"/>
  <c r="C21" i="25"/>
  <c r="B21" i="25"/>
  <c r="O20" i="25"/>
  <c r="H20" i="25" s="1"/>
  <c r="I20" i="25" s="1"/>
  <c r="L20" i="25"/>
  <c r="D20" i="25" s="1"/>
  <c r="G20" i="25"/>
  <c r="F20" i="25"/>
  <c r="C20" i="25"/>
  <c r="B20" i="25"/>
  <c r="O19" i="25"/>
  <c r="H19" i="25" s="1"/>
  <c r="L19" i="25"/>
  <c r="D19" i="25" s="1"/>
  <c r="E19" i="25" s="1"/>
  <c r="G19" i="25"/>
  <c r="F19" i="25"/>
  <c r="C19" i="25"/>
  <c r="B19" i="25"/>
  <c r="O18" i="25"/>
  <c r="H18" i="25" s="1"/>
  <c r="L18" i="25"/>
  <c r="D18" i="25" s="1"/>
  <c r="E18" i="25" s="1"/>
  <c r="G18" i="25"/>
  <c r="F18" i="25"/>
  <c r="C18" i="25"/>
  <c r="B18" i="25"/>
  <c r="O17" i="25"/>
  <c r="H17" i="25" s="1"/>
  <c r="L17" i="25"/>
  <c r="D17" i="25" s="1"/>
  <c r="G17" i="25"/>
  <c r="I17" i="25" s="1"/>
  <c r="F17" i="25"/>
  <c r="C17" i="25"/>
  <c r="B17" i="25"/>
  <c r="O16" i="25"/>
  <c r="H16" i="25" s="1"/>
  <c r="I16" i="25" s="1"/>
  <c r="L16" i="25"/>
  <c r="G16" i="25"/>
  <c r="F16" i="25"/>
  <c r="D16" i="25"/>
  <c r="C16" i="25"/>
  <c r="B16" i="25"/>
  <c r="O15" i="25"/>
  <c r="H15" i="25" s="1"/>
  <c r="L15" i="25"/>
  <c r="D15" i="25" s="1"/>
  <c r="G15" i="25"/>
  <c r="F15" i="25"/>
  <c r="C15" i="25"/>
  <c r="B15" i="25"/>
  <c r="O14" i="25"/>
  <c r="L14" i="25"/>
  <c r="H14" i="25"/>
  <c r="G14" i="25"/>
  <c r="I14" i="25" s="1"/>
  <c r="F14" i="25"/>
  <c r="D14" i="25"/>
  <c r="C14" i="25"/>
  <c r="E14" i="25" s="1"/>
  <c r="B14" i="25"/>
  <c r="O13" i="25"/>
  <c r="L13" i="25"/>
  <c r="D13" i="25" s="1"/>
  <c r="H13" i="25"/>
  <c r="G13" i="25"/>
  <c r="I13" i="25" s="1"/>
  <c r="F13" i="25"/>
  <c r="C13" i="25"/>
  <c r="B13" i="25"/>
  <c r="O12" i="25"/>
  <c r="H12" i="25" s="1"/>
  <c r="L12" i="25"/>
  <c r="D12" i="25" s="1"/>
  <c r="G12" i="25"/>
  <c r="F12" i="25"/>
  <c r="C12" i="25"/>
  <c r="B12" i="25"/>
  <c r="O11" i="25"/>
  <c r="H11" i="25" s="1"/>
  <c r="L11" i="25"/>
  <c r="G11" i="25"/>
  <c r="F11" i="25"/>
  <c r="D11" i="25"/>
  <c r="C11" i="25"/>
  <c r="E11" i="25" s="1"/>
  <c r="B11" i="25"/>
  <c r="O10" i="25"/>
  <c r="H10" i="25" s="1"/>
  <c r="G10" i="25"/>
  <c r="F10" i="25"/>
  <c r="C10" i="25"/>
  <c r="B10" i="25"/>
  <c r="O9" i="25"/>
  <c r="H9" i="25" s="1"/>
  <c r="L9" i="25"/>
  <c r="D9" i="25" s="1"/>
  <c r="E9" i="25" s="1"/>
  <c r="G9" i="25"/>
  <c r="F9" i="25"/>
  <c r="C9" i="25"/>
  <c r="B9" i="25"/>
  <c r="O8" i="25"/>
  <c r="L8" i="25"/>
  <c r="H8" i="25"/>
  <c r="G8" i="25"/>
  <c r="I8" i="25" s="1"/>
  <c r="F8" i="25"/>
  <c r="D8" i="25"/>
  <c r="C8" i="25"/>
  <c r="E8" i="25" s="1"/>
  <c r="B8" i="25"/>
  <c r="O7" i="25"/>
  <c r="L7" i="25"/>
  <c r="D7" i="25" s="1"/>
  <c r="H7" i="25"/>
  <c r="G7" i="25"/>
  <c r="F7" i="25"/>
  <c r="C7" i="25"/>
  <c r="B7" i="25"/>
  <c r="O6" i="25"/>
  <c r="H6" i="25" s="1"/>
  <c r="L6" i="25"/>
  <c r="D6" i="25" s="1"/>
  <c r="G6" i="25"/>
  <c r="F6" i="25"/>
  <c r="C6" i="25"/>
  <c r="B6" i="25"/>
  <c r="O5" i="25"/>
  <c r="L5" i="25"/>
  <c r="G5" i="25"/>
  <c r="F5" i="25"/>
  <c r="D5" i="25"/>
  <c r="E5" i="25" s="1"/>
  <c r="C5" i="25"/>
  <c r="B5" i="25"/>
  <c r="B32" i="24"/>
  <c r="C32" i="24"/>
  <c r="D62" i="24"/>
  <c r="G32" i="24"/>
  <c r="F32" i="24"/>
  <c r="O31" i="24"/>
  <c r="H31" i="24" s="1"/>
  <c r="L31" i="24"/>
  <c r="D31" i="24" s="1"/>
  <c r="G31" i="24"/>
  <c r="F31" i="24"/>
  <c r="C31" i="24"/>
  <c r="B31" i="24"/>
  <c r="O29" i="24"/>
  <c r="H29" i="24" s="1"/>
  <c r="L29" i="24"/>
  <c r="D29" i="24" s="1"/>
  <c r="G29" i="24"/>
  <c r="F29" i="24"/>
  <c r="C29" i="24"/>
  <c r="B29" i="24"/>
  <c r="O28" i="24"/>
  <c r="H28" i="24" s="1"/>
  <c r="L28" i="24"/>
  <c r="D28" i="24" s="1"/>
  <c r="G28" i="24"/>
  <c r="F28" i="24"/>
  <c r="C28" i="24"/>
  <c r="B28" i="24"/>
  <c r="O27" i="24"/>
  <c r="H27" i="24" s="1"/>
  <c r="G27" i="24"/>
  <c r="F27" i="24"/>
  <c r="C27" i="24"/>
  <c r="B27" i="24"/>
  <c r="O26" i="24"/>
  <c r="H26" i="24" s="1"/>
  <c r="L26" i="24"/>
  <c r="D26" i="24" s="1"/>
  <c r="G26" i="24"/>
  <c r="F26" i="24"/>
  <c r="C26" i="24"/>
  <c r="B26" i="24"/>
  <c r="O25" i="24"/>
  <c r="H25" i="24" s="1"/>
  <c r="L25" i="24"/>
  <c r="D25" i="24" s="1"/>
  <c r="G25" i="24"/>
  <c r="F25" i="24"/>
  <c r="C25" i="24"/>
  <c r="B25" i="24"/>
  <c r="O24" i="24"/>
  <c r="H24" i="24" s="1"/>
  <c r="G24" i="24"/>
  <c r="F24" i="24"/>
  <c r="C24" i="24"/>
  <c r="B24" i="24"/>
  <c r="O23" i="24"/>
  <c r="H23" i="24" s="1"/>
  <c r="L23" i="24"/>
  <c r="D23" i="24" s="1"/>
  <c r="G23" i="24"/>
  <c r="F23" i="24"/>
  <c r="C23" i="24"/>
  <c r="B23" i="24"/>
  <c r="O22" i="24"/>
  <c r="H22" i="24" s="1"/>
  <c r="G22" i="24"/>
  <c r="F22" i="24"/>
  <c r="C22" i="24"/>
  <c r="B22" i="24"/>
  <c r="O21" i="24"/>
  <c r="H21" i="24" s="1"/>
  <c r="L21" i="24"/>
  <c r="D21" i="24" s="1"/>
  <c r="G21" i="24"/>
  <c r="F21" i="24"/>
  <c r="C21" i="24"/>
  <c r="B21" i="24"/>
  <c r="O20" i="24"/>
  <c r="H20" i="24" s="1"/>
  <c r="L20" i="24"/>
  <c r="D20" i="24" s="1"/>
  <c r="G20" i="24"/>
  <c r="F20" i="24"/>
  <c r="C20" i="24"/>
  <c r="B20" i="24"/>
  <c r="O19" i="24"/>
  <c r="H19" i="24" s="1"/>
  <c r="L19" i="24"/>
  <c r="D19" i="24" s="1"/>
  <c r="G19" i="24"/>
  <c r="F19" i="24"/>
  <c r="C19" i="24"/>
  <c r="B19" i="24"/>
  <c r="O18" i="24"/>
  <c r="H18" i="24" s="1"/>
  <c r="L18" i="24"/>
  <c r="D18" i="24" s="1"/>
  <c r="G18" i="24"/>
  <c r="F18" i="24"/>
  <c r="C18" i="24"/>
  <c r="B18" i="24"/>
  <c r="O17" i="24"/>
  <c r="H17" i="24" s="1"/>
  <c r="L17" i="24"/>
  <c r="D17" i="24" s="1"/>
  <c r="G17" i="24"/>
  <c r="F17" i="24"/>
  <c r="C17" i="24"/>
  <c r="B17" i="24"/>
  <c r="O16" i="24"/>
  <c r="H16" i="24" s="1"/>
  <c r="L16" i="24"/>
  <c r="D16" i="24" s="1"/>
  <c r="G16" i="24"/>
  <c r="F16" i="24"/>
  <c r="C16" i="24"/>
  <c r="B16" i="24"/>
  <c r="O15" i="24"/>
  <c r="H15" i="24" s="1"/>
  <c r="L15" i="24"/>
  <c r="D15" i="24" s="1"/>
  <c r="G15" i="24"/>
  <c r="F15" i="24"/>
  <c r="C15" i="24"/>
  <c r="B15" i="24"/>
  <c r="O14" i="24"/>
  <c r="H14" i="24" s="1"/>
  <c r="L14" i="24"/>
  <c r="D14" i="24" s="1"/>
  <c r="G14" i="24"/>
  <c r="F14" i="24"/>
  <c r="C14" i="24"/>
  <c r="B14" i="24"/>
  <c r="O13" i="24"/>
  <c r="H13" i="24" s="1"/>
  <c r="L13" i="24"/>
  <c r="D13" i="24" s="1"/>
  <c r="G13" i="24"/>
  <c r="F13" i="24"/>
  <c r="C13" i="24"/>
  <c r="B13" i="24"/>
  <c r="O12" i="24"/>
  <c r="H12" i="24" s="1"/>
  <c r="L12" i="24"/>
  <c r="D12" i="24" s="1"/>
  <c r="G12" i="24"/>
  <c r="F12" i="24"/>
  <c r="C12" i="24"/>
  <c r="B12" i="24"/>
  <c r="O11" i="24"/>
  <c r="H11" i="24" s="1"/>
  <c r="L11" i="24"/>
  <c r="D11" i="24" s="1"/>
  <c r="G11" i="24"/>
  <c r="F11" i="24"/>
  <c r="C11" i="24"/>
  <c r="B11" i="24"/>
  <c r="O10" i="24"/>
  <c r="H10" i="24" s="1"/>
  <c r="G10" i="24"/>
  <c r="F10" i="24"/>
  <c r="C10" i="24"/>
  <c r="B10" i="24"/>
  <c r="O9" i="24"/>
  <c r="H9" i="24" s="1"/>
  <c r="L9" i="24"/>
  <c r="D9" i="24" s="1"/>
  <c r="G9" i="24"/>
  <c r="F9" i="24"/>
  <c r="C9" i="24"/>
  <c r="B9" i="24"/>
  <c r="O8" i="24"/>
  <c r="H8" i="24" s="1"/>
  <c r="L8" i="24"/>
  <c r="D8" i="24" s="1"/>
  <c r="G8" i="24"/>
  <c r="F8" i="24"/>
  <c r="C8" i="24"/>
  <c r="B8" i="24"/>
  <c r="O7" i="24"/>
  <c r="L7" i="24"/>
  <c r="D7" i="24" s="1"/>
  <c r="H7" i="24"/>
  <c r="G7" i="24"/>
  <c r="F7" i="24"/>
  <c r="C7" i="24"/>
  <c r="B7" i="24"/>
  <c r="O6" i="24"/>
  <c r="H6" i="24" s="1"/>
  <c r="L6" i="24"/>
  <c r="D6" i="24" s="1"/>
  <c r="G6" i="24"/>
  <c r="F6" i="24"/>
  <c r="C6" i="24"/>
  <c r="B6" i="24"/>
  <c r="O5" i="24"/>
  <c r="L5" i="24"/>
  <c r="D5" i="24" s="1"/>
  <c r="E5" i="24" s="1"/>
  <c r="G5" i="24"/>
  <c r="F5" i="24"/>
  <c r="C5" i="24"/>
  <c r="B5" i="24"/>
  <c r="AF29" i="12" l="1"/>
  <c r="AJ29" i="12" s="1"/>
  <c r="AD29" i="12"/>
  <c r="AH29" i="12" s="1"/>
  <c r="AC29" i="12"/>
  <c r="AG29" i="12" s="1"/>
  <c r="AL61" i="12"/>
  <c r="AV61" i="12" s="1"/>
  <c r="BF61" i="12" s="1"/>
  <c r="BL61" i="12" s="1"/>
  <c r="BR61" i="12" s="1"/>
  <c r="BX61" i="12" s="1"/>
  <c r="CD61" i="12" s="1"/>
  <c r="CC61" i="12" s="1"/>
  <c r="CF61" i="12" s="1"/>
  <c r="N29" i="12" s="1"/>
  <c r="AN61" i="12"/>
  <c r="K29" i="12" s="1"/>
  <c r="AE29" i="12"/>
  <c r="AI29" i="12" s="1"/>
  <c r="I22" i="25"/>
  <c r="I7" i="25"/>
  <c r="I15" i="25"/>
  <c r="I12" i="25"/>
  <c r="I5" i="25"/>
  <c r="I18" i="25"/>
  <c r="I10" i="25"/>
  <c r="I11" i="25"/>
  <c r="I19" i="25"/>
  <c r="I28" i="25"/>
  <c r="I6" i="25"/>
  <c r="H5" i="25"/>
  <c r="O32" i="25"/>
  <c r="H32" i="25" s="1"/>
  <c r="I32" i="25" s="1"/>
  <c r="E31" i="25"/>
  <c r="E7" i="25"/>
  <c r="E20" i="25"/>
  <c r="E6" i="25"/>
  <c r="E13" i="25"/>
  <c r="E16" i="25"/>
  <c r="D32" i="25"/>
  <c r="E32" i="25" s="1"/>
  <c r="E17" i="25"/>
  <c r="E29" i="25"/>
  <c r="E12" i="25"/>
  <c r="E15" i="25"/>
  <c r="E21" i="25"/>
  <c r="E26" i="25"/>
  <c r="I22" i="24"/>
  <c r="I16" i="24"/>
  <c r="I9" i="25"/>
  <c r="I27" i="25"/>
  <c r="I13" i="24"/>
  <c r="I12" i="24"/>
  <c r="I8" i="24"/>
  <c r="I18" i="24"/>
  <c r="I21" i="24"/>
  <c r="I20" i="24"/>
  <c r="I15" i="24"/>
  <c r="I7" i="24"/>
  <c r="I14" i="24"/>
  <c r="I25" i="24"/>
  <c r="I6" i="24"/>
  <c r="I24" i="24"/>
  <c r="I31" i="24"/>
  <c r="I29" i="24"/>
  <c r="I10" i="24"/>
  <c r="I17" i="24"/>
  <c r="I23" i="24"/>
  <c r="I28" i="24"/>
  <c r="H32" i="24"/>
  <c r="I32" i="24" s="1"/>
  <c r="I9" i="24"/>
  <c r="I27" i="24"/>
  <c r="E31" i="24"/>
  <c r="E7" i="24"/>
  <c r="E12" i="24"/>
  <c r="E6" i="24"/>
  <c r="E9" i="24"/>
  <c r="E28" i="24"/>
  <c r="E14" i="24"/>
  <c r="E25" i="24"/>
  <c r="E16" i="24"/>
  <c r="E18" i="24"/>
  <c r="E23" i="24"/>
  <c r="E21" i="24"/>
  <c r="E19" i="24"/>
  <c r="E8" i="24"/>
  <c r="E15" i="24"/>
  <c r="E26" i="24"/>
  <c r="E11" i="24"/>
  <c r="E29" i="24"/>
  <c r="D32" i="24"/>
  <c r="E32" i="24" s="1"/>
  <c r="E20" i="24"/>
  <c r="I11" i="24"/>
  <c r="E17" i="24"/>
  <c r="E13" i="24"/>
  <c r="I19" i="24"/>
  <c r="I26" i="24"/>
  <c r="H5" i="24"/>
  <c r="I5" i="24" s="1"/>
  <c r="AB29" i="12" l="1"/>
  <c r="R29" i="12"/>
  <c r="BE61" i="12"/>
  <c r="BK61" i="12"/>
  <c r="BQ61" i="12"/>
  <c r="AU61" i="12"/>
  <c r="BW61" i="12"/>
  <c r="O29" i="12"/>
  <c r="Y29" i="12"/>
  <c r="O13" i="11"/>
  <c r="O12" i="11"/>
  <c r="O11" i="11"/>
  <c r="O10" i="11"/>
  <c r="BN61" i="12" l="1"/>
  <c r="BO61" i="12"/>
  <c r="BH61" i="12"/>
  <c r="L29" i="12" s="1"/>
  <c r="BI61" i="12"/>
  <c r="BT61" i="12"/>
  <c r="M29" i="12" s="1"/>
  <c r="BU61" i="12"/>
  <c r="CA61" i="12"/>
  <c r="BZ61" i="12"/>
  <c r="AX61" i="12"/>
  <c r="BC61" i="12"/>
  <c r="BD63" i="21"/>
  <c r="BD60" i="21"/>
  <c r="BD59" i="21"/>
  <c r="BD58" i="21"/>
  <c r="BD57" i="21"/>
  <c r="BD56" i="21"/>
  <c r="BD55" i="21"/>
  <c r="BD54" i="21"/>
  <c r="BD53" i="21"/>
  <c r="BD52" i="21"/>
  <c r="BD51" i="21"/>
  <c r="BD50" i="21"/>
  <c r="BD49" i="21"/>
  <c r="BD48" i="21"/>
  <c r="BD47" i="21"/>
  <c r="BD46" i="21"/>
  <c r="BD45" i="21"/>
  <c r="BD44" i="21"/>
  <c r="BD43" i="21"/>
  <c r="BD42" i="21"/>
  <c r="BD41" i="21"/>
  <c r="BD40" i="21"/>
  <c r="BD39" i="21"/>
  <c r="BD38" i="21"/>
  <c r="BD37" i="21"/>
  <c r="BD36" i="21"/>
  <c r="AT63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Q29" i="12" l="1"/>
  <c r="AA29" i="12"/>
  <c r="P29" i="12"/>
  <c r="Z29" i="12"/>
  <c r="Y3" i="8"/>
  <c r="AT63" i="12"/>
  <c r="AT60" i="12"/>
  <c r="AT59" i="12"/>
  <c r="AT57" i="12"/>
  <c r="AT56" i="12"/>
  <c r="AT54" i="12"/>
  <c r="AT52" i="12"/>
  <c r="AT51" i="12"/>
  <c r="AT50" i="12"/>
  <c r="AT49" i="12"/>
  <c r="AT48" i="12"/>
  <c r="AT47" i="12"/>
  <c r="AT46" i="12"/>
  <c r="AT45" i="12"/>
  <c r="AT44" i="12"/>
  <c r="AT43" i="12"/>
  <c r="AT42" i="12"/>
  <c r="AT40" i="12"/>
  <c r="AT39" i="12"/>
  <c r="AT38" i="12"/>
  <c r="AT37" i="12"/>
  <c r="AT36" i="12"/>
  <c r="AJ63" i="12"/>
  <c r="AJ60" i="12"/>
  <c r="AJ59" i="12"/>
  <c r="AJ57" i="12"/>
  <c r="AJ56" i="12"/>
  <c r="AJ54" i="12"/>
  <c r="AJ52" i="12"/>
  <c r="AJ51" i="12"/>
  <c r="AJ50" i="12"/>
  <c r="AJ49" i="12"/>
  <c r="AJ48" i="12"/>
  <c r="AJ47" i="12"/>
  <c r="AJ46" i="12"/>
  <c r="AJ45" i="12"/>
  <c r="AJ44" i="12"/>
  <c r="AJ43" i="12"/>
  <c r="AJ42" i="12"/>
  <c r="AJ40" i="12"/>
  <c r="AJ39" i="12"/>
  <c r="AJ38" i="12"/>
  <c r="AJ37" i="12"/>
  <c r="AJ36" i="12"/>
  <c r="AL35" i="21"/>
  <c r="AJ63" i="21"/>
  <c r="AJ60" i="21"/>
  <c r="AJ59" i="21"/>
  <c r="AJ58" i="21"/>
  <c r="AJ57" i="21"/>
  <c r="AJ56" i="21"/>
  <c r="AJ55" i="21"/>
  <c r="AJ54" i="21"/>
  <c r="AJ53" i="21"/>
  <c r="AJ52" i="21"/>
  <c r="AJ51" i="21"/>
  <c r="AJ50" i="21"/>
  <c r="AJ49" i="21"/>
  <c r="AJ48" i="21"/>
  <c r="AJ47" i="21"/>
  <c r="AJ46" i="21"/>
  <c r="AJ45" i="21"/>
  <c r="AJ44" i="21"/>
  <c r="AJ43" i="21"/>
  <c r="AJ42" i="21"/>
  <c r="AJ41" i="21"/>
  <c r="AJ40" i="21"/>
  <c r="AJ39" i="21"/>
  <c r="AJ38" i="21"/>
  <c r="AJ37" i="21"/>
  <c r="AJ36" i="21"/>
  <c r="B157" i="23" l="1"/>
  <c r="B141" i="23"/>
  <c r="B125" i="23"/>
  <c r="B108" i="23"/>
  <c r="B92" i="23"/>
  <c r="B76" i="23"/>
  <c r="B42" i="23"/>
  <c r="B26" i="23"/>
  <c r="B10" i="23"/>
  <c r="K49" i="14" l="1"/>
  <c r="J49" i="14"/>
  <c r="K48" i="14"/>
  <c r="J48" i="14"/>
  <c r="K47" i="14"/>
  <c r="J47" i="14"/>
  <c r="K46" i="14"/>
  <c r="J46" i="14"/>
  <c r="K45" i="14"/>
  <c r="J45" i="14"/>
  <c r="K44" i="14"/>
  <c r="J44" i="14"/>
  <c r="K43" i="14"/>
  <c r="J43" i="14"/>
  <c r="K42" i="14"/>
  <c r="J42" i="14"/>
  <c r="K41" i="14"/>
  <c r="J41" i="14"/>
  <c r="K40" i="14"/>
  <c r="J40" i="14"/>
  <c r="K39" i="14"/>
  <c r="J39" i="14"/>
  <c r="K38" i="14"/>
  <c r="J38" i="14"/>
  <c r="K37" i="14"/>
  <c r="J37" i="14"/>
  <c r="K36" i="14"/>
  <c r="J36" i="14"/>
  <c r="K35" i="14"/>
  <c r="J35" i="14"/>
  <c r="K34" i="14"/>
  <c r="J34" i="14"/>
  <c r="K33" i="14"/>
  <c r="J33" i="14"/>
  <c r="K32" i="14"/>
  <c r="J32" i="14"/>
  <c r="K31" i="14"/>
  <c r="J31" i="14"/>
  <c r="K30" i="14"/>
  <c r="J30" i="14"/>
  <c r="K29" i="14"/>
  <c r="J29" i="14"/>
  <c r="K28" i="14"/>
  <c r="J28" i="14"/>
  <c r="K27" i="14"/>
  <c r="J27" i="14"/>
  <c r="K26" i="14"/>
  <c r="J26" i="14"/>
  <c r="K25" i="14"/>
  <c r="J25" i="14"/>
  <c r="K24" i="14"/>
  <c r="J24" i="14"/>
  <c r="K23" i="14"/>
  <c r="J23" i="14"/>
  <c r="K22" i="14"/>
  <c r="J22" i="14"/>
  <c r="K21" i="14"/>
  <c r="J21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K14" i="14"/>
  <c r="J14" i="14"/>
  <c r="K13" i="14"/>
  <c r="J13" i="14"/>
  <c r="K12" i="14"/>
  <c r="J12" i="14"/>
  <c r="K11" i="14"/>
  <c r="J11" i="14"/>
  <c r="K10" i="14"/>
  <c r="J10" i="14"/>
  <c r="K9" i="14"/>
  <c r="J9" i="14"/>
  <c r="K8" i="14"/>
  <c r="J8" i="14"/>
  <c r="K7" i="14"/>
  <c r="J7" i="14"/>
  <c r="K6" i="14"/>
  <c r="J6" i="14"/>
  <c r="K5" i="14"/>
  <c r="J5" i="14"/>
  <c r="K4" i="14"/>
  <c r="J4" i="14"/>
  <c r="K3" i="14"/>
  <c r="J3" i="14"/>
  <c r="K2" i="14"/>
  <c r="J2" i="14"/>
  <c r="I15" i="15" l="1"/>
  <c r="I16" i="15"/>
  <c r="I17" i="15"/>
  <c r="I18" i="15"/>
  <c r="I20" i="15"/>
  <c r="I21" i="15"/>
  <c r="I22" i="15"/>
  <c r="I23" i="15"/>
  <c r="I24" i="15"/>
  <c r="I25" i="15"/>
  <c r="I26" i="15"/>
  <c r="I27" i="15"/>
  <c r="I28" i="15"/>
  <c r="I29" i="15"/>
  <c r="I30" i="15"/>
  <c r="I32" i="15"/>
  <c r="I34" i="15"/>
  <c r="I35" i="15"/>
  <c r="I37" i="15"/>
  <c r="I38" i="15"/>
  <c r="I14" i="15"/>
  <c r="D15" i="15"/>
  <c r="D16" i="15"/>
  <c r="D17" i="15"/>
  <c r="D18" i="15"/>
  <c r="D20" i="15"/>
  <c r="D21" i="15"/>
  <c r="D22" i="15"/>
  <c r="D23" i="15"/>
  <c r="D24" i="15"/>
  <c r="D25" i="15"/>
  <c r="D26" i="15"/>
  <c r="D27" i="15"/>
  <c r="D28" i="15"/>
  <c r="D29" i="15"/>
  <c r="D30" i="15"/>
  <c r="D32" i="15"/>
  <c r="D34" i="15"/>
  <c r="D35" i="15"/>
  <c r="D37" i="15"/>
  <c r="D38" i="15"/>
  <c r="D41" i="15"/>
  <c r="D42" i="15"/>
  <c r="D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41" i="15"/>
  <c r="C14" i="15"/>
  <c r="G15" i="15"/>
  <c r="G16" i="15"/>
  <c r="G17" i="15"/>
  <c r="G18" i="15"/>
  <c r="G20" i="15"/>
  <c r="G21" i="15"/>
  <c r="G22" i="15"/>
  <c r="G23" i="15"/>
  <c r="G24" i="15"/>
  <c r="G25" i="15"/>
  <c r="G26" i="15"/>
  <c r="G27" i="15"/>
  <c r="G28" i="15"/>
  <c r="G29" i="15"/>
  <c r="G30" i="15"/>
  <c r="G32" i="15"/>
  <c r="G34" i="15"/>
  <c r="G35" i="15"/>
  <c r="G37" i="15"/>
  <c r="G38" i="15"/>
  <c r="G14" i="15"/>
  <c r="B15" i="15"/>
  <c r="B16" i="15"/>
  <c r="B17" i="15"/>
  <c r="B18" i="15"/>
  <c r="B20" i="15"/>
  <c r="B21" i="15"/>
  <c r="B22" i="15"/>
  <c r="B23" i="15"/>
  <c r="B24" i="15"/>
  <c r="B25" i="15"/>
  <c r="B26" i="15"/>
  <c r="B27" i="15"/>
  <c r="B28" i="15"/>
  <c r="B29" i="15"/>
  <c r="B30" i="15"/>
  <c r="B32" i="15"/>
  <c r="B34" i="15"/>
  <c r="B35" i="15"/>
  <c r="B37" i="15"/>
  <c r="B38" i="15"/>
  <c r="B41" i="15"/>
  <c r="B14" i="15"/>
  <c r="AA63" i="21" l="1"/>
  <c r="Z63" i="21"/>
  <c r="AI63" i="21" s="1"/>
  <c r="Z37" i="21"/>
  <c r="AA37" i="21"/>
  <c r="AL37" i="21" s="1"/>
  <c r="AV37" i="21" s="1"/>
  <c r="Z38" i="21"/>
  <c r="AI38" i="21" s="1"/>
  <c r="AK38" i="21" s="1"/>
  <c r="AS38" i="21" s="1"/>
  <c r="AA38" i="21"/>
  <c r="Z39" i="21"/>
  <c r="AI39" i="21" s="1"/>
  <c r="AK39" i="21" s="1"/>
  <c r="AS39" i="21" s="1"/>
  <c r="AA39" i="21"/>
  <c r="Z40" i="21"/>
  <c r="AI40" i="21" s="1"/>
  <c r="AK40" i="21" s="1"/>
  <c r="AS40" i="21" s="1"/>
  <c r="AA40" i="21"/>
  <c r="AL40" i="21" s="1"/>
  <c r="AV40" i="21" s="1"/>
  <c r="Z41" i="21"/>
  <c r="AI41" i="21" s="1"/>
  <c r="AK41" i="21" s="1"/>
  <c r="AS41" i="21" s="1"/>
  <c r="AA41" i="21"/>
  <c r="AL41" i="21" s="1"/>
  <c r="AV41" i="21" s="1"/>
  <c r="Z42" i="21"/>
  <c r="AI42" i="21" s="1"/>
  <c r="AK42" i="21" s="1"/>
  <c r="AS42" i="21" s="1"/>
  <c r="AA42" i="21"/>
  <c r="Z43" i="21"/>
  <c r="AI43" i="21" s="1"/>
  <c r="AK43" i="21" s="1"/>
  <c r="AS43" i="21" s="1"/>
  <c r="AA43" i="21"/>
  <c r="Z44" i="21"/>
  <c r="AI44" i="21" s="1"/>
  <c r="AK44" i="21" s="1"/>
  <c r="AS44" i="21" s="1"/>
  <c r="AA44" i="21"/>
  <c r="Z45" i="21"/>
  <c r="AI45" i="21" s="1"/>
  <c r="AK45" i="21" s="1"/>
  <c r="AS45" i="21" s="1"/>
  <c r="AA45" i="21"/>
  <c r="AL45" i="21" s="1"/>
  <c r="AV45" i="21" s="1"/>
  <c r="Z46" i="21"/>
  <c r="AI46" i="21" s="1"/>
  <c r="AK46" i="21" s="1"/>
  <c r="AS46" i="21" s="1"/>
  <c r="AA46" i="21"/>
  <c r="Z47" i="21"/>
  <c r="AI47" i="21" s="1"/>
  <c r="AK47" i="21" s="1"/>
  <c r="AS47" i="21" s="1"/>
  <c r="AA47" i="21"/>
  <c r="Z48" i="21"/>
  <c r="AI48" i="21" s="1"/>
  <c r="AK48" i="21" s="1"/>
  <c r="AS48" i="21" s="1"/>
  <c r="AA48" i="21"/>
  <c r="AL48" i="21" s="1"/>
  <c r="AV48" i="21" s="1"/>
  <c r="Z49" i="21"/>
  <c r="AI49" i="21" s="1"/>
  <c r="AK49" i="21" s="1"/>
  <c r="AS49" i="21" s="1"/>
  <c r="AA49" i="21"/>
  <c r="AL49" i="21" s="1"/>
  <c r="AV49" i="21" s="1"/>
  <c r="Z50" i="21"/>
  <c r="AI50" i="21" s="1"/>
  <c r="AK50" i="21" s="1"/>
  <c r="AS50" i="21" s="1"/>
  <c r="AA50" i="21"/>
  <c r="AL50" i="21" s="1"/>
  <c r="AV50" i="21" s="1"/>
  <c r="Z51" i="21"/>
  <c r="AI51" i="21" s="1"/>
  <c r="AK51" i="21" s="1"/>
  <c r="AS51" i="21" s="1"/>
  <c r="AA51" i="21"/>
  <c r="Z52" i="21"/>
  <c r="AI52" i="21" s="1"/>
  <c r="AK52" i="21" s="1"/>
  <c r="AS52" i="21" s="1"/>
  <c r="AA52" i="21"/>
  <c r="Z53" i="21"/>
  <c r="AI53" i="21" s="1"/>
  <c r="AK53" i="21" s="1"/>
  <c r="AS53" i="21" s="1"/>
  <c r="AA53" i="21"/>
  <c r="AL53" i="21" s="1"/>
  <c r="AV53" i="21" s="1"/>
  <c r="Z54" i="21"/>
  <c r="AI54" i="21" s="1"/>
  <c r="AK54" i="21" s="1"/>
  <c r="AS54" i="21" s="1"/>
  <c r="AA54" i="21"/>
  <c r="Z55" i="21"/>
  <c r="AI55" i="21" s="1"/>
  <c r="AK55" i="21" s="1"/>
  <c r="AS55" i="21" s="1"/>
  <c r="AA55" i="21"/>
  <c r="Z56" i="21"/>
  <c r="AI56" i="21" s="1"/>
  <c r="AK56" i="21" s="1"/>
  <c r="AS56" i="21" s="1"/>
  <c r="AA56" i="21"/>
  <c r="AL56" i="21" s="1"/>
  <c r="AV56" i="21" s="1"/>
  <c r="Z57" i="21"/>
  <c r="AI57" i="21" s="1"/>
  <c r="AK57" i="21" s="1"/>
  <c r="AS57" i="21" s="1"/>
  <c r="AA57" i="21"/>
  <c r="AL57" i="21" s="1"/>
  <c r="AV57" i="21" s="1"/>
  <c r="Z58" i="21"/>
  <c r="AI58" i="21" s="1"/>
  <c r="AK58" i="21" s="1"/>
  <c r="AS58" i="21" s="1"/>
  <c r="AA58" i="21"/>
  <c r="Z59" i="21"/>
  <c r="AI59" i="21" s="1"/>
  <c r="AK59" i="21" s="1"/>
  <c r="AS59" i="21" s="1"/>
  <c r="AA59" i="21"/>
  <c r="AL59" i="21" s="1"/>
  <c r="AV59" i="21" s="1"/>
  <c r="Z60" i="21"/>
  <c r="AI60" i="21" s="1"/>
  <c r="AK60" i="21" s="1"/>
  <c r="AS60" i="21" s="1"/>
  <c r="AA60" i="21"/>
  <c r="AA36" i="21"/>
  <c r="AL36" i="21" s="1"/>
  <c r="AV36" i="21" s="1"/>
  <c r="BF36" i="21" s="1"/>
  <c r="BL36" i="21" s="1"/>
  <c r="BR36" i="21" s="1"/>
  <c r="BX36" i="21" s="1"/>
  <c r="CD36" i="21" s="1"/>
  <c r="Z36" i="21"/>
  <c r="W63" i="21"/>
  <c r="V63" i="21"/>
  <c r="V37" i="21"/>
  <c r="W37" i="21"/>
  <c r="V38" i="21"/>
  <c r="W38" i="21"/>
  <c r="V39" i="21"/>
  <c r="W39" i="21"/>
  <c r="V40" i="21"/>
  <c r="W40" i="21"/>
  <c r="V41" i="21"/>
  <c r="W41" i="21"/>
  <c r="V42" i="21"/>
  <c r="W42" i="21"/>
  <c r="V43" i="21"/>
  <c r="W43" i="21"/>
  <c r="V44" i="21"/>
  <c r="W44" i="21"/>
  <c r="V45" i="21"/>
  <c r="W45" i="21"/>
  <c r="V46" i="21"/>
  <c r="W46" i="21"/>
  <c r="V47" i="21"/>
  <c r="W47" i="21"/>
  <c r="V48" i="21"/>
  <c r="W48" i="21"/>
  <c r="V49" i="21"/>
  <c r="W49" i="21"/>
  <c r="V50" i="21"/>
  <c r="W50" i="21"/>
  <c r="V51" i="21"/>
  <c r="W51" i="21"/>
  <c r="V52" i="21"/>
  <c r="W52" i="21"/>
  <c r="V53" i="21"/>
  <c r="W53" i="21"/>
  <c r="V54" i="21"/>
  <c r="W54" i="21"/>
  <c r="V55" i="21"/>
  <c r="W55" i="21"/>
  <c r="V56" i="21"/>
  <c r="W56" i="21"/>
  <c r="V57" i="21"/>
  <c r="W57" i="21"/>
  <c r="V58" i="21"/>
  <c r="W58" i="21"/>
  <c r="V59" i="21"/>
  <c r="W59" i="21"/>
  <c r="V60" i="21"/>
  <c r="W60" i="21"/>
  <c r="W36" i="21"/>
  <c r="V36" i="21"/>
  <c r="S63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S57" i="21"/>
  <c r="S58" i="21"/>
  <c r="S59" i="21"/>
  <c r="S60" i="21"/>
  <c r="R63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S36" i="21"/>
  <c r="R36" i="21"/>
  <c r="O63" i="21"/>
  <c r="N63" i="21"/>
  <c r="O60" i="21"/>
  <c r="N60" i="21"/>
  <c r="O59" i="21"/>
  <c r="N59" i="21"/>
  <c r="O58" i="21"/>
  <c r="N58" i="21"/>
  <c r="O57" i="21"/>
  <c r="N57" i="21"/>
  <c r="O56" i="21"/>
  <c r="N56" i="21"/>
  <c r="O55" i="21"/>
  <c r="N55" i="21"/>
  <c r="O54" i="21"/>
  <c r="N54" i="21"/>
  <c r="O53" i="21"/>
  <c r="N53" i="21"/>
  <c r="O52" i="21"/>
  <c r="N52" i="21"/>
  <c r="O51" i="21"/>
  <c r="N51" i="21"/>
  <c r="O50" i="21"/>
  <c r="N50" i="21"/>
  <c r="O49" i="21"/>
  <c r="N49" i="21"/>
  <c r="O48" i="21"/>
  <c r="N48" i="21"/>
  <c r="O47" i="21"/>
  <c r="N47" i="21"/>
  <c r="O46" i="21"/>
  <c r="N46" i="21"/>
  <c r="O45" i="21"/>
  <c r="N45" i="21"/>
  <c r="O44" i="21"/>
  <c r="N44" i="21"/>
  <c r="O43" i="21"/>
  <c r="N43" i="21"/>
  <c r="O42" i="21"/>
  <c r="N42" i="21"/>
  <c r="O41" i="21"/>
  <c r="N41" i="21"/>
  <c r="O40" i="21"/>
  <c r="N40" i="21"/>
  <c r="O39" i="21"/>
  <c r="N39" i="21"/>
  <c r="O38" i="21"/>
  <c r="N38" i="21"/>
  <c r="O37" i="21"/>
  <c r="N37" i="21"/>
  <c r="O36" i="21"/>
  <c r="N36" i="21"/>
  <c r="AG62" i="21"/>
  <c r="AN35" i="21"/>
  <c r="AX35" i="21" s="1"/>
  <c r="AM35" i="21"/>
  <c r="AW35" i="21" s="1"/>
  <c r="AV35" i="21"/>
  <c r="AI35" i="21"/>
  <c r="AS35" i="21" s="1"/>
  <c r="Y3" i="21"/>
  <c r="BD36" i="12"/>
  <c r="CB62" i="21" l="1"/>
  <c r="BV62" i="21"/>
  <c r="BP62" i="21"/>
  <c r="BJ62" i="21"/>
  <c r="BF59" i="21"/>
  <c r="BL59" i="21" s="1"/>
  <c r="BR59" i="21" s="1"/>
  <c r="BX59" i="21" s="1"/>
  <c r="CD59" i="21" s="1"/>
  <c r="BF50" i="21"/>
  <c r="BL50" i="21" s="1"/>
  <c r="BR50" i="21" s="1"/>
  <c r="BX50" i="21" s="1"/>
  <c r="CD50" i="21" s="1"/>
  <c r="BD62" i="21"/>
  <c r="AT62" i="21"/>
  <c r="BF49" i="21"/>
  <c r="BL49" i="21" s="1"/>
  <c r="BR49" i="21" s="1"/>
  <c r="BX49" i="21" s="1"/>
  <c r="CD49" i="21" s="1"/>
  <c r="BF37" i="21"/>
  <c r="BL37" i="21" s="1"/>
  <c r="BR37" i="21" s="1"/>
  <c r="BX37" i="21" s="1"/>
  <c r="CD37" i="21" s="1"/>
  <c r="X39" i="21"/>
  <c r="Y39" i="21" s="1"/>
  <c r="G7" i="21" s="1"/>
  <c r="BF57" i="21"/>
  <c r="BL57" i="21" s="1"/>
  <c r="BR57" i="21" s="1"/>
  <c r="BX57" i="21" s="1"/>
  <c r="CD57" i="21" s="1"/>
  <c r="BF41" i="21"/>
  <c r="BL41" i="21" s="1"/>
  <c r="BR41" i="21" s="1"/>
  <c r="BX41" i="21" s="1"/>
  <c r="CD41" i="21" s="1"/>
  <c r="BF56" i="21"/>
  <c r="BL56" i="21" s="1"/>
  <c r="BR56" i="21" s="1"/>
  <c r="BX56" i="21" s="1"/>
  <c r="CD56" i="21" s="1"/>
  <c r="BF48" i="21"/>
  <c r="BL48" i="21" s="1"/>
  <c r="BR48" i="21" s="1"/>
  <c r="BX48" i="21" s="1"/>
  <c r="CD48" i="21" s="1"/>
  <c r="BF40" i="21"/>
  <c r="BL40" i="21" s="1"/>
  <c r="BR40" i="21" s="1"/>
  <c r="BX40" i="21" s="1"/>
  <c r="CD40" i="21" s="1"/>
  <c r="BF53" i="21"/>
  <c r="BL53" i="21" s="1"/>
  <c r="BR53" i="21" s="1"/>
  <c r="BX53" i="21" s="1"/>
  <c r="CD53" i="21" s="1"/>
  <c r="BF45" i="21"/>
  <c r="BL45" i="21" s="1"/>
  <c r="BR45" i="21" s="1"/>
  <c r="BX45" i="21" s="1"/>
  <c r="CD45" i="21" s="1"/>
  <c r="AL55" i="21"/>
  <c r="AV55" i="21" s="1"/>
  <c r="AL39" i="21"/>
  <c r="AV39" i="21" s="1"/>
  <c r="AL58" i="21"/>
  <c r="AV58" i="21" s="1"/>
  <c r="AL54" i="21"/>
  <c r="AV54" i="21" s="1"/>
  <c r="AL46" i="21"/>
  <c r="AV46" i="21" s="1"/>
  <c r="AL42" i="21"/>
  <c r="AV42" i="21" s="1"/>
  <c r="AL38" i="21"/>
  <c r="AV38" i="21" s="1"/>
  <c r="AL43" i="21"/>
  <c r="AV43" i="21" s="1"/>
  <c r="AL47" i="21"/>
  <c r="AV47" i="21" s="1"/>
  <c r="AL51" i="21"/>
  <c r="AV51" i="21" s="1"/>
  <c r="AL60" i="21"/>
  <c r="AV60" i="21" s="1"/>
  <c r="AL52" i="21"/>
  <c r="AV52" i="21" s="1"/>
  <c r="AL44" i="21"/>
  <c r="AV44" i="21" s="1"/>
  <c r="AL63" i="21"/>
  <c r="AV63" i="21" s="1"/>
  <c r="AG64" i="21"/>
  <c r="AJ62" i="21"/>
  <c r="T53" i="21"/>
  <c r="U53" i="21" s="1"/>
  <c r="F21" i="21" s="1"/>
  <c r="T45" i="21"/>
  <c r="U45" i="21" s="1"/>
  <c r="F13" i="21" s="1"/>
  <c r="T37" i="21"/>
  <c r="U37" i="21" s="1"/>
  <c r="F5" i="21" s="1"/>
  <c r="T48" i="21"/>
  <c r="U48" i="21" s="1"/>
  <c r="F16" i="21" s="1"/>
  <c r="T60" i="21"/>
  <c r="U60" i="21" s="1"/>
  <c r="F28" i="21" s="1"/>
  <c r="T52" i="21"/>
  <c r="U52" i="21" s="1"/>
  <c r="F20" i="21" s="1"/>
  <c r="T44" i="21"/>
  <c r="U44" i="21" s="1"/>
  <c r="F12" i="21" s="1"/>
  <c r="T63" i="21"/>
  <c r="U63" i="21" s="1"/>
  <c r="F31" i="21" s="1"/>
  <c r="X57" i="21"/>
  <c r="Y57" i="21" s="1"/>
  <c r="G25" i="21" s="1"/>
  <c r="X53" i="21"/>
  <c r="Y53" i="21" s="1"/>
  <c r="G21" i="21" s="1"/>
  <c r="X49" i="21"/>
  <c r="Y49" i="21" s="1"/>
  <c r="G17" i="21" s="1"/>
  <c r="X45" i="21"/>
  <c r="Y45" i="21" s="1"/>
  <c r="G13" i="21" s="1"/>
  <c r="X41" i="21"/>
  <c r="Y41" i="21" s="1"/>
  <c r="G9" i="21" s="1"/>
  <c r="X37" i="21"/>
  <c r="Y37" i="21" s="1"/>
  <c r="G5" i="21" s="1"/>
  <c r="T59" i="21"/>
  <c r="U59" i="21" s="1"/>
  <c r="F27" i="21" s="1"/>
  <c r="T51" i="21"/>
  <c r="U51" i="21" s="1"/>
  <c r="F19" i="21" s="1"/>
  <c r="T43" i="21"/>
  <c r="U43" i="21" s="1"/>
  <c r="F11" i="21" s="1"/>
  <c r="T42" i="21"/>
  <c r="U42" i="21" s="1"/>
  <c r="F10" i="21" s="1"/>
  <c r="X44" i="21"/>
  <c r="Y44" i="21" s="1"/>
  <c r="G12" i="21" s="1"/>
  <c r="T54" i="21"/>
  <c r="U54" i="21" s="1"/>
  <c r="F22" i="21" s="1"/>
  <c r="T46" i="21"/>
  <c r="U46" i="21" s="1"/>
  <c r="F14" i="21" s="1"/>
  <c r="T38" i="21"/>
  <c r="U38" i="21" s="1"/>
  <c r="F6" i="21" s="1"/>
  <c r="T50" i="21"/>
  <c r="U50" i="21" s="1"/>
  <c r="F18" i="21" s="1"/>
  <c r="X56" i="21"/>
  <c r="Y56" i="21" s="1"/>
  <c r="G24" i="21" s="1"/>
  <c r="X48" i="21"/>
  <c r="Y48" i="21" s="1"/>
  <c r="G16" i="21" s="1"/>
  <c r="S62" i="21"/>
  <c r="S64" i="21" s="1"/>
  <c r="X58" i="21"/>
  <c r="Y58" i="21" s="1"/>
  <c r="G26" i="21" s="1"/>
  <c r="X54" i="21"/>
  <c r="Y54" i="21" s="1"/>
  <c r="G22" i="21" s="1"/>
  <c r="X50" i="21"/>
  <c r="Y50" i="21" s="1"/>
  <c r="G18" i="21" s="1"/>
  <c r="X46" i="21"/>
  <c r="Y46" i="21" s="1"/>
  <c r="G14" i="21" s="1"/>
  <c r="X42" i="21"/>
  <c r="Y42" i="21" s="1"/>
  <c r="G10" i="21" s="1"/>
  <c r="X38" i="21"/>
  <c r="Y38" i="21" s="1"/>
  <c r="G6" i="21" s="1"/>
  <c r="T55" i="21"/>
  <c r="U55" i="21" s="1"/>
  <c r="F23" i="21" s="1"/>
  <c r="T47" i="21"/>
  <c r="U47" i="21" s="1"/>
  <c r="F15" i="21" s="1"/>
  <c r="T39" i="21"/>
  <c r="U39" i="21" s="1"/>
  <c r="F7" i="21" s="1"/>
  <c r="X40" i="21"/>
  <c r="Y40" i="21" s="1"/>
  <c r="G8" i="21" s="1"/>
  <c r="AB57" i="21"/>
  <c r="W62" i="21"/>
  <c r="W64" i="21" s="1"/>
  <c r="X60" i="21"/>
  <c r="Y60" i="21" s="1"/>
  <c r="G28" i="21" s="1"/>
  <c r="AB49" i="21"/>
  <c r="T58" i="21"/>
  <c r="U58" i="21" s="1"/>
  <c r="F26" i="21" s="1"/>
  <c r="X55" i="21"/>
  <c r="Y55" i="21" s="1"/>
  <c r="G23" i="21" s="1"/>
  <c r="X47" i="21"/>
  <c r="Y47" i="21" s="1"/>
  <c r="G15" i="21" s="1"/>
  <c r="X52" i="21"/>
  <c r="Y52" i="21" s="1"/>
  <c r="G20" i="21" s="1"/>
  <c r="AB41" i="21"/>
  <c r="T57" i="21"/>
  <c r="U57" i="21" s="1"/>
  <c r="F25" i="21" s="1"/>
  <c r="T49" i="21"/>
  <c r="U49" i="21" s="1"/>
  <c r="F17" i="21" s="1"/>
  <c r="T41" i="21"/>
  <c r="U41" i="21" s="1"/>
  <c r="F9" i="21" s="1"/>
  <c r="X59" i="21"/>
  <c r="Y59" i="21" s="1"/>
  <c r="G27" i="21" s="1"/>
  <c r="X51" i="21"/>
  <c r="Y51" i="21" s="1"/>
  <c r="G19" i="21" s="1"/>
  <c r="X43" i="21"/>
  <c r="Y43" i="21" s="1"/>
  <c r="G11" i="21" s="1"/>
  <c r="X63" i="21"/>
  <c r="Y63" i="21" s="1"/>
  <c r="G31" i="21" s="1"/>
  <c r="AB56" i="21"/>
  <c r="AB48" i="21"/>
  <c r="AB40" i="21"/>
  <c r="T56" i="21"/>
  <c r="U56" i="21" s="1"/>
  <c r="F24" i="21" s="1"/>
  <c r="T40" i="21"/>
  <c r="U40" i="21" s="1"/>
  <c r="F8" i="21" s="1"/>
  <c r="AB55" i="21"/>
  <c r="AB47" i="21"/>
  <c r="AB39" i="21"/>
  <c r="AB63" i="21"/>
  <c r="AB54" i="21"/>
  <c r="AB46" i="21"/>
  <c r="AB38" i="21"/>
  <c r="AB53" i="21"/>
  <c r="AB45" i="21"/>
  <c r="AB37" i="21"/>
  <c r="O62" i="21"/>
  <c r="O64" i="21" s="1"/>
  <c r="AB60" i="21"/>
  <c r="AB52" i="21"/>
  <c r="AB44" i="21"/>
  <c r="AB59" i="21"/>
  <c r="AB51" i="21"/>
  <c r="AB43" i="21"/>
  <c r="AB58" i="21"/>
  <c r="AB50" i="21"/>
  <c r="AB42" i="21"/>
  <c r="N62" i="21"/>
  <c r="P36" i="21"/>
  <c r="P37" i="21"/>
  <c r="Q37" i="21" s="1"/>
  <c r="E5" i="21" s="1"/>
  <c r="P38" i="21"/>
  <c r="Q38" i="21" s="1"/>
  <c r="E6" i="21" s="1"/>
  <c r="P39" i="21"/>
  <c r="Q39" i="21" s="1"/>
  <c r="E7" i="21" s="1"/>
  <c r="P40" i="21"/>
  <c r="Q40" i="21" s="1"/>
  <c r="E8" i="21" s="1"/>
  <c r="P41" i="21"/>
  <c r="Q41" i="21" s="1"/>
  <c r="E9" i="21" s="1"/>
  <c r="P42" i="21"/>
  <c r="Q42" i="21" s="1"/>
  <c r="E10" i="21" s="1"/>
  <c r="P43" i="21"/>
  <c r="Q43" i="21" s="1"/>
  <c r="E11" i="21" s="1"/>
  <c r="P44" i="21"/>
  <c r="Q44" i="21" s="1"/>
  <c r="E12" i="21" s="1"/>
  <c r="P45" i="21"/>
  <c r="Q45" i="21" s="1"/>
  <c r="E13" i="21" s="1"/>
  <c r="P46" i="21"/>
  <c r="Q46" i="21" s="1"/>
  <c r="E14" i="21" s="1"/>
  <c r="P47" i="21"/>
  <c r="Q47" i="21" s="1"/>
  <c r="E15" i="21" s="1"/>
  <c r="P48" i="21"/>
  <c r="Q48" i="21" s="1"/>
  <c r="E16" i="21" s="1"/>
  <c r="P49" i="21"/>
  <c r="Q49" i="21" s="1"/>
  <c r="E17" i="21" s="1"/>
  <c r="P50" i="21"/>
  <c r="Q50" i="21" s="1"/>
  <c r="E18" i="21" s="1"/>
  <c r="P51" i="21"/>
  <c r="Q51" i="21" s="1"/>
  <c r="E19" i="21" s="1"/>
  <c r="P52" i="21"/>
  <c r="Q52" i="21" s="1"/>
  <c r="E20" i="21" s="1"/>
  <c r="P53" i="21"/>
  <c r="Q53" i="21" s="1"/>
  <c r="E21" i="21" s="1"/>
  <c r="P54" i="21"/>
  <c r="Q54" i="21" s="1"/>
  <c r="E22" i="21" s="1"/>
  <c r="P55" i="21"/>
  <c r="Q55" i="21" s="1"/>
  <c r="E23" i="21" s="1"/>
  <c r="P56" i="21"/>
  <c r="Q56" i="21" s="1"/>
  <c r="E24" i="21" s="1"/>
  <c r="P57" i="21"/>
  <c r="Q57" i="21" s="1"/>
  <c r="E25" i="21" s="1"/>
  <c r="P58" i="21"/>
  <c r="Q58" i="21" s="1"/>
  <c r="E26" i="21" s="1"/>
  <c r="P59" i="21"/>
  <c r="Q59" i="21" s="1"/>
  <c r="E27" i="21" s="1"/>
  <c r="P60" i="21"/>
  <c r="Q60" i="21" s="1"/>
  <c r="E28" i="21" s="1"/>
  <c r="P63" i="21"/>
  <c r="Q63" i="21" s="1"/>
  <c r="E31" i="21" s="1"/>
  <c r="BG35" i="21"/>
  <c r="BH35" i="21"/>
  <c r="R62" i="21"/>
  <c r="T36" i="21"/>
  <c r="U36" i="21" s="1"/>
  <c r="F4" i="21" s="1"/>
  <c r="V62" i="21"/>
  <c r="X36" i="21"/>
  <c r="Y36" i="21" s="1"/>
  <c r="G4" i="21" s="1"/>
  <c r="Z62" i="21"/>
  <c r="AI62" i="21" s="1"/>
  <c r="AI36" i="21"/>
  <c r="AK36" i="21" s="1"/>
  <c r="AS36" i="21" s="1"/>
  <c r="AB36" i="21"/>
  <c r="AA62" i="21"/>
  <c r="AL62" i="21" s="1"/>
  <c r="AV62" i="21" s="1"/>
  <c r="AI37" i="21"/>
  <c r="AK37" i="21" s="1"/>
  <c r="AS37" i="21" s="1"/>
  <c r="AK63" i="21"/>
  <c r="AS63" i="21" s="1"/>
  <c r="AA63" i="12"/>
  <c r="Z63" i="12"/>
  <c r="Z37" i="12"/>
  <c r="AI37" i="12" s="1"/>
  <c r="AK37" i="12" s="1"/>
  <c r="AS37" i="12" s="1"/>
  <c r="AA37" i="12"/>
  <c r="Z38" i="12"/>
  <c r="AI38" i="12" s="1"/>
  <c r="AK38" i="12" s="1"/>
  <c r="AS38" i="12" s="1"/>
  <c r="AA38" i="12"/>
  <c r="Z39" i="12"/>
  <c r="AI39" i="12" s="1"/>
  <c r="AK39" i="12" s="1"/>
  <c r="AS39" i="12" s="1"/>
  <c r="AA39" i="12"/>
  <c r="Z40" i="12"/>
  <c r="AI40" i="12" s="1"/>
  <c r="AK40" i="12" s="1"/>
  <c r="AS40" i="12" s="1"/>
  <c r="AA40" i="12"/>
  <c r="Z42" i="12"/>
  <c r="AI42" i="12" s="1"/>
  <c r="AK42" i="12" s="1"/>
  <c r="AS42" i="12" s="1"/>
  <c r="AA42" i="12"/>
  <c r="Z43" i="12"/>
  <c r="AI43" i="12" s="1"/>
  <c r="AK43" i="12" s="1"/>
  <c r="AS43" i="12" s="1"/>
  <c r="AA43" i="12"/>
  <c r="Z44" i="12"/>
  <c r="AI44" i="12" s="1"/>
  <c r="AK44" i="12" s="1"/>
  <c r="AS44" i="12" s="1"/>
  <c r="AA44" i="12"/>
  <c r="Z45" i="12"/>
  <c r="AI45" i="12" s="1"/>
  <c r="AK45" i="12" s="1"/>
  <c r="AS45" i="12" s="1"/>
  <c r="AA45" i="12"/>
  <c r="Z46" i="12"/>
  <c r="AI46" i="12" s="1"/>
  <c r="AK46" i="12" s="1"/>
  <c r="AS46" i="12" s="1"/>
  <c r="AA46" i="12"/>
  <c r="Z47" i="12"/>
  <c r="AI47" i="12" s="1"/>
  <c r="AK47" i="12" s="1"/>
  <c r="AS47" i="12" s="1"/>
  <c r="AA47" i="12"/>
  <c r="Z48" i="12"/>
  <c r="AI48" i="12" s="1"/>
  <c r="AK48" i="12" s="1"/>
  <c r="AS48" i="12" s="1"/>
  <c r="AA48" i="12"/>
  <c r="Z49" i="12"/>
  <c r="AI49" i="12" s="1"/>
  <c r="AK49" i="12" s="1"/>
  <c r="AS49" i="12" s="1"/>
  <c r="AA49" i="12"/>
  <c r="Z50" i="12"/>
  <c r="AI50" i="12" s="1"/>
  <c r="AK50" i="12" s="1"/>
  <c r="AS50" i="12" s="1"/>
  <c r="AA50" i="12"/>
  <c r="Z51" i="12"/>
  <c r="AI51" i="12" s="1"/>
  <c r="AK51" i="12" s="1"/>
  <c r="AS51" i="12" s="1"/>
  <c r="AA51" i="12"/>
  <c r="Z52" i="12"/>
  <c r="AI52" i="12" s="1"/>
  <c r="AK52" i="12" s="1"/>
  <c r="AS52" i="12" s="1"/>
  <c r="AA52" i="12"/>
  <c r="Z54" i="12"/>
  <c r="AI54" i="12" s="1"/>
  <c r="AK54" i="12" s="1"/>
  <c r="AS54" i="12" s="1"/>
  <c r="AA54" i="12"/>
  <c r="Z56" i="12"/>
  <c r="AI56" i="12" s="1"/>
  <c r="AK56" i="12" s="1"/>
  <c r="AS56" i="12" s="1"/>
  <c r="AA56" i="12"/>
  <c r="Z57" i="12"/>
  <c r="AI57" i="12" s="1"/>
  <c r="AK57" i="12" s="1"/>
  <c r="AS57" i="12" s="1"/>
  <c r="AA57" i="12"/>
  <c r="Z59" i="12"/>
  <c r="AI59" i="12" s="1"/>
  <c r="AK59" i="12" s="1"/>
  <c r="AS59" i="12" s="1"/>
  <c r="AA59" i="12"/>
  <c r="Z60" i="12"/>
  <c r="AI60" i="12" s="1"/>
  <c r="AK60" i="12" s="1"/>
  <c r="AS60" i="12" s="1"/>
  <c r="AA60" i="12"/>
  <c r="AA36" i="12"/>
  <c r="Z36" i="12"/>
  <c r="AI36" i="12" s="1"/>
  <c r="AK36" i="12" s="1"/>
  <c r="AS36" i="12" s="1"/>
  <c r="W63" i="12"/>
  <c r="V63" i="12"/>
  <c r="V37" i="12"/>
  <c r="W37" i="12"/>
  <c r="V38" i="12"/>
  <c r="W38" i="12"/>
  <c r="V39" i="12"/>
  <c r="W39" i="12"/>
  <c r="V40" i="12"/>
  <c r="W40" i="12"/>
  <c r="V42" i="12"/>
  <c r="W42" i="12"/>
  <c r="V43" i="12"/>
  <c r="W43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4" i="12"/>
  <c r="W54" i="12"/>
  <c r="V56" i="12"/>
  <c r="W56" i="12"/>
  <c r="V57" i="12"/>
  <c r="W57" i="12"/>
  <c r="V59" i="12"/>
  <c r="W59" i="12"/>
  <c r="V60" i="12"/>
  <c r="W60" i="12"/>
  <c r="W36" i="12"/>
  <c r="V36" i="12"/>
  <c r="S63" i="12"/>
  <c r="R63" i="12"/>
  <c r="R37" i="12"/>
  <c r="S37" i="12"/>
  <c r="R38" i="12"/>
  <c r="S38" i="12"/>
  <c r="R39" i="12"/>
  <c r="S39" i="12"/>
  <c r="R40" i="12"/>
  <c r="S40" i="12"/>
  <c r="R42" i="12"/>
  <c r="S42" i="12"/>
  <c r="R43" i="12"/>
  <c r="S43" i="12"/>
  <c r="R44" i="12"/>
  <c r="S44" i="12"/>
  <c r="R45" i="12"/>
  <c r="S45" i="12"/>
  <c r="R46" i="12"/>
  <c r="S46" i="12"/>
  <c r="R47" i="12"/>
  <c r="S47" i="12"/>
  <c r="R48" i="12"/>
  <c r="S48" i="12"/>
  <c r="R49" i="12"/>
  <c r="S49" i="12"/>
  <c r="R50" i="12"/>
  <c r="S50" i="12"/>
  <c r="R51" i="12"/>
  <c r="S51" i="12"/>
  <c r="R52" i="12"/>
  <c r="S52" i="12"/>
  <c r="R54" i="12"/>
  <c r="S54" i="12"/>
  <c r="R56" i="12"/>
  <c r="S56" i="12"/>
  <c r="R57" i="12"/>
  <c r="S57" i="12"/>
  <c r="R59" i="12"/>
  <c r="S59" i="12"/>
  <c r="R60" i="12"/>
  <c r="S60" i="12"/>
  <c r="S36" i="12"/>
  <c r="R36" i="12"/>
  <c r="X35" i="8"/>
  <c r="U63" i="8"/>
  <c r="T63" i="8"/>
  <c r="R63" i="8"/>
  <c r="Q63" i="8"/>
  <c r="O63" i="8"/>
  <c r="N63" i="8"/>
  <c r="N37" i="8"/>
  <c r="O37" i="8"/>
  <c r="Q37" i="8"/>
  <c r="R37" i="8"/>
  <c r="T37" i="8"/>
  <c r="X37" i="8" s="1"/>
  <c r="AC5" i="8" s="1"/>
  <c r="AG5" i="8" s="1"/>
  <c r="U37" i="8"/>
  <c r="N38" i="8"/>
  <c r="O38" i="8"/>
  <c r="Q38" i="8"/>
  <c r="R38" i="8"/>
  <c r="T38" i="8"/>
  <c r="X38" i="8" s="1"/>
  <c r="AC6" i="8" s="1"/>
  <c r="AG6" i="8" s="1"/>
  <c r="U38" i="8"/>
  <c r="N39" i="8"/>
  <c r="O39" i="8"/>
  <c r="Q39" i="8"/>
  <c r="R39" i="8"/>
  <c r="T39" i="8"/>
  <c r="X39" i="8" s="1"/>
  <c r="AC7" i="8" s="1"/>
  <c r="AG7" i="8" s="1"/>
  <c r="U39" i="8"/>
  <c r="N40" i="8"/>
  <c r="O40" i="8"/>
  <c r="Q40" i="8"/>
  <c r="R40" i="8"/>
  <c r="T40" i="8"/>
  <c r="X40" i="8" s="1"/>
  <c r="AC8" i="8" s="1"/>
  <c r="AG8" i="8" s="1"/>
  <c r="U40" i="8"/>
  <c r="N42" i="8"/>
  <c r="O42" i="8"/>
  <c r="Q42" i="8"/>
  <c r="R42" i="8"/>
  <c r="T42" i="8"/>
  <c r="X42" i="8" s="1"/>
  <c r="AC10" i="8" s="1"/>
  <c r="AG10" i="8" s="1"/>
  <c r="U42" i="8"/>
  <c r="N43" i="8"/>
  <c r="O43" i="8"/>
  <c r="Q43" i="8"/>
  <c r="R43" i="8"/>
  <c r="T43" i="8"/>
  <c r="X43" i="8" s="1"/>
  <c r="AC11" i="8" s="1"/>
  <c r="AG11" i="8" s="1"/>
  <c r="U43" i="8"/>
  <c r="N44" i="8"/>
  <c r="O44" i="8"/>
  <c r="Q44" i="8"/>
  <c r="R44" i="8"/>
  <c r="T44" i="8"/>
  <c r="X44" i="8" s="1"/>
  <c r="AC12" i="8" s="1"/>
  <c r="AG12" i="8" s="1"/>
  <c r="U44" i="8"/>
  <c r="N45" i="8"/>
  <c r="O45" i="8"/>
  <c r="Q45" i="8"/>
  <c r="R45" i="8"/>
  <c r="T45" i="8"/>
  <c r="X45" i="8" s="1"/>
  <c r="AC13" i="8" s="1"/>
  <c r="AG13" i="8" s="1"/>
  <c r="U45" i="8"/>
  <c r="N46" i="8"/>
  <c r="O46" i="8"/>
  <c r="Q46" i="8"/>
  <c r="R46" i="8"/>
  <c r="T46" i="8"/>
  <c r="X46" i="8" s="1"/>
  <c r="AC14" i="8" s="1"/>
  <c r="AG14" i="8" s="1"/>
  <c r="U46" i="8"/>
  <c r="N47" i="8"/>
  <c r="O47" i="8"/>
  <c r="Q47" i="8"/>
  <c r="R47" i="8"/>
  <c r="T47" i="8"/>
  <c r="X47" i="8" s="1"/>
  <c r="AC15" i="8" s="1"/>
  <c r="AG15" i="8" s="1"/>
  <c r="U47" i="8"/>
  <c r="N48" i="8"/>
  <c r="O48" i="8"/>
  <c r="Q48" i="8"/>
  <c r="R48" i="8"/>
  <c r="T48" i="8"/>
  <c r="X48" i="8" s="1"/>
  <c r="AC16" i="8" s="1"/>
  <c r="AG16" i="8" s="1"/>
  <c r="U48" i="8"/>
  <c r="N49" i="8"/>
  <c r="O49" i="8"/>
  <c r="Q49" i="8"/>
  <c r="R49" i="8"/>
  <c r="T49" i="8"/>
  <c r="X49" i="8" s="1"/>
  <c r="AC17" i="8" s="1"/>
  <c r="AG17" i="8" s="1"/>
  <c r="U49" i="8"/>
  <c r="N50" i="8"/>
  <c r="O50" i="8"/>
  <c r="Q50" i="8"/>
  <c r="R50" i="8"/>
  <c r="T50" i="8"/>
  <c r="X50" i="8" s="1"/>
  <c r="AC18" i="8" s="1"/>
  <c r="AG18" i="8" s="1"/>
  <c r="U50" i="8"/>
  <c r="N51" i="8"/>
  <c r="O51" i="8"/>
  <c r="Q51" i="8"/>
  <c r="R51" i="8"/>
  <c r="T51" i="8"/>
  <c r="X51" i="8" s="1"/>
  <c r="AC19" i="8" s="1"/>
  <c r="AG19" i="8" s="1"/>
  <c r="U51" i="8"/>
  <c r="N52" i="8"/>
  <c r="O52" i="8"/>
  <c r="Q52" i="8"/>
  <c r="R52" i="8"/>
  <c r="T52" i="8"/>
  <c r="X52" i="8" s="1"/>
  <c r="AC20" i="8" s="1"/>
  <c r="AG20" i="8" s="1"/>
  <c r="U52" i="8"/>
  <c r="N54" i="8"/>
  <c r="O54" i="8"/>
  <c r="Q54" i="8"/>
  <c r="R54" i="8"/>
  <c r="T54" i="8"/>
  <c r="X54" i="8" s="1"/>
  <c r="AC22" i="8" s="1"/>
  <c r="AG22" i="8" s="1"/>
  <c r="U54" i="8"/>
  <c r="N56" i="8"/>
  <c r="O56" i="8"/>
  <c r="Q56" i="8"/>
  <c r="R56" i="8"/>
  <c r="T56" i="8"/>
  <c r="X56" i="8" s="1"/>
  <c r="AC24" i="8" s="1"/>
  <c r="AG24" i="8" s="1"/>
  <c r="U56" i="8"/>
  <c r="N57" i="8"/>
  <c r="O57" i="8"/>
  <c r="Q57" i="8"/>
  <c r="R57" i="8"/>
  <c r="T57" i="8"/>
  <c r="X57" i="8" s="1"/>
  <c r="AC25" i="8" s="1"/>
  <c r="AG25" i="8" s="1"/>
  <c r="U57" i="8"/>
  <c r="N59" i="8"/>
  <c r="O59" i="8"/>
  <c r="Q59" i="8"/>
  <c r="R59" i="8"/>
  <c r="T59" i="8"/>
  <c r="X59" i="8" s="1"/>
  <c r="AC27" i="8" s="1"/>
  <c r="AG27" i="8" s="1"/>
  <c r="U59" i="8"/>
  <c r="N60" i="8"/>
  <c r="O60" i="8"/>
  <c r="Q60" i="8"/>
  <c r="R60" i="8"/>
  <c r="T60" i="8"/>
  <c r="X60" i="8" s="1"/>
  <c r="AC28" i="8" s="1"/>
  <c r="AG28" i="8" s="1"/>
  <c r="U60" i="8"/>
  <c r="U36" i="8"/>
  <c r="T36" i="8"/>
  <c r="R36" i="8"/>
  <c r="Q36" i="8"/>
  <c r="O36" i="8"/>
  <c r="N36" i="8"/>
  <c r="C40" i="11"/>
  <c r="D40" i="11"/>
  <c r="E40" i="11"/>
  <c r="H18" i="11"/>
  <c r="H7" i="11" s="1"/>
  <c r="G18" i="11"/>
  <c r="G7" i="11" s="1"/>
  <c r="E4" i="11"/>
  <c r="F4" i="11"/>
  <c r="G4" i="11"/>
  <c r="H4" i="11"/>
  <c r="E5" i="11"/>
  <c r="F5" i="11"/>
  <c r="G5" i="11"/>
  <c r="H5" i="11"/>
  <c r="E6" i="11"/>
  <c r="F6" i="11"/>
  <c r="G6" i="11"/>
  <c r="H6" i="11"/>
  <c r="F3" i="11"/>
  <c r="G3" i="11"/>
  <c r="H3" i="11"/>
  <c r="F18" i="11"/>
  <c r="F7" i="11" s="1"/>
  <c r="BY42" i="21" l="1"/>
  <c r="CE42" i="21"/>
  <c r="CE60" i="21"/>
  <c r="BY60" i="21"/>
  <c r="CE63" i="21"/>
  <c r="AF31" i="21" s="1"/>
  <c r="AJ31" i="21" s="1"/>
  <c r="BY63" i="21"/>
  <c r="CE56" i="21"/>
  <c r="BY56" i="21"/>
  <c r="BW56" i="21" s="1"/>
  <c r="BM41" i="21"/>
  <c r="BK41" i="21" s="1"/>
  <c r="CE41" i="21"/>
  <c r="BY41" i="21"/>
  <c r="BW41" i="21" s="1"/>
  <c r="BS41" i="21"/>
  <c r="BY57" i="21"/>
  <c r="BW57" i="21" s="1"/>
  <c r="CE57" i="21"/>
  <c r="BY50" i="21"/>
  <c r="BW50" i="21" s="1"/>
  <c r="CE50" i="21"/>
  <c r="CE39" i="21"/>
  <c r="AF7" i="21" s="1"/>
  <c r="AJ7" i="21" s="1"/>
  <c r="BY39" i="21"/>
  <c r="CE58" i="21"/>
  <c r="BY58" i="21"/>
  <c r="CE37" i="21"/>
  <c r="AF5" i="21" s="1"/>
  <c r="AJ5" i="21" s="1"/>
  <c r="BY37" i="21"/>
  <c r="BW37" i="21" s="1"/>
  <c r="CE47" i="21"/>
  <c r="AF15" i="21" s="1"/>
  <c r="AJ15" i="21" s="1"/>
  <c r="BY47" i="21"/>
  <c r="BY43" i="21"/>
  <c r="CE43" i="21"/>
  <c r="AF11" i="21" s="1"/>
  <c r="AJ11" i="21" s="1"/>
  <c r="BY45" i="21"/>
  <c r="BW45" i="21" s="1"/>
  <c r="CE45" i="21"/>
  <c r="BY55" i="21"/>
  <c r="CE55" i="21"/>
  <c r="AF23" i="21" s="1"/>
  <c r="AJ23" i="21" s="1"/>
  <c r="CE36" i="21"/>
  <c r="BY36" i="21"/>
  <c r="BW36" i="21" s="1"/>
  <c r="CE51" i="21"/>
  <c r="AF19" i="21" s="1"/>
  <c r="AJ19" i="21" s="1"/>
  <c r="BY51" i="21"/>
  <c r="BY53" i="21"/>
  <c r="BW53" i="21" s="1"/>
  <c r="CE53" i="21"/>
  <c r="CE59" i="21"/>
  <c r="AF27" i="21" s="1"/>
  <c r="AJ27" i="21" s="1"/>
  <c r="BY59" i="21"/>
  <c r="BW59" i="21" s="1"/>
  <c r="BY38" i="21"/>
  <c r="CE38" i="21"/>
  <c r="AF6" i="21" s="1"/>
  <c r="AJ6" i="21" s="1"/>
  <c r="BY49" i="21"/>
  <c r="BW49" i="21" s="1"/>
  <c r="CE49" i="21"/>
  <c r="CC37" i="21"/>
  <c r="CF37" i="21" s="1"/>
  <c r="N5" i="21" s="1"/>
  <c r="BY44" i="21"/>
  <c r="CE44" i="21"/>
  <c r="BY46" i="21"/>
  <c r="CE46" i="21"/>
  <c r="CE40" i="21"/>
  <c r="AF8" i="21" s="1"/>
  <c r="AJ8" i="21" s="1"/>
  <c r="BY40" i="21"/>
  <c r="BW40" i="21" s="1"/>
  <c r="BV64" i="21"/>
  <c r="CB64" i="21"/>
  <c r="BY52" i="21"/>
  <c r="CE52" i="21"/>
  <c r="CE54" i="21"/>
  <c r="BY54" i="21"/>
  <c r="BY48" i="21"/>
  <c r="BW48" i="21" s="1"/>
  <c r="CE48" i="21"/>
  <c r="CC40" i="21"/>
  <c r="CF40" i="21" s="1"/>
  <c r="N8" i="21" s="1"/>
  <c r="AI63" i="12"/>
  <c r="AK63" i="12" s="1"/>
  <c r="AS63" i="12" s="1"/>
  <c r="AW45" i="8"/>
  <c r="AT45" i="8"/>
  <c r="AW36" i="8"/>
  <c r="AT36" i="8"/>
  <c r="AT60" i="8"/>
  <c r="AW60" i="8"/>
  <c r="AQ60" i="8"/>
  <c r="AW56" i="8"/>
  <c r="AT56" i="8"/>
  <c r="AT50" i="8"/>
  <c r="AW50" i="8"/>
  <c r="AW46" i="8"/>
  <c r="AT46" i="8"/>
  <c r="AT42" i="8"/>
  <c r="AW42" i="8"/>
  <c r="AW37" i="8"/>
  <c r="AT37" i="8"/>
  <c r="AW54" i="8"/>
  <c r="AT54" i="8"/>
  <c r="AW57" i="8"/>
  <c r="AT57" i="8"/>
  <c r="AT51" i="8"/>
  <c r="AW51" i="8"/>
  <c r="AW47" i="8"/>
  <c r="AT47" i="8"/>
  <c r="AT43" i="8"/>
  <c r="AW43" i="8"/>
  <c r="AW38" i="8"/>
  <c r="AT38" i="8"/>
  <c r="X63" i="8"/>
  <c r="AD63" i="8" s="1"/>
  <c r="AJ63" i="8" s="1"/>
  <c r="AM63" i="8" s="1"/>
  <c r="AP63" i="8" s="1"/>
  <c r="AS63" i="8" s="1"/>
  <c r="AV63" i="8" s="1"/>
  <c r="AF31" i="8" s="1"/>
  <c r="AJ31" i="8" s="1"/>
  <c r="AK63" i="8"/>
  <c r="Y63" i="8"/>
  <c r="AQ63" i="8"/>
  <c r="AT63" i="8"/>
  <c r="AN63" i="8"/>
  <c r="AE63" i="8"/>
  <c r="AW63" i="8"/>
  <c r="AT49" i="8"/>
  <c r="AW49" i="8"/>
  <c r="AT40" i="8"/>
  <c r="AW40" i="8"/>
  <c r="AW59" i="8"/>
  <c r="AT59" i="8"/>
  <c r="AT52" i="8"/>
  <c r="AW52" i="8"/>
  <c r="AT48" i="8"/>
  <c r="AW48" i="8"/>
  <c r="AW44" i="8"/>
  <c r="AT44" i="8"/>
  <c r="AW39" i="8"/>
  <c r="AT39" i="8"/>
  <c r="Y49" i="8"/>
  <c r="AN49" i="8"/>
  <c r="AQ49" i="8"/>
  <c r="AN60" i="8"/>
  <c r="AN54" i="8"/>
  <c r="AQ54" i="8"/>
  <c r="Y45" i="8"/>
  <c r="AQ45" i="8"/>
  <c r="AN45" i="8"/>
  <c r="AQ56" i="8"/>
  <c r="AN56" i="8"/>
  <c r="AQ57" i="8"/>
  <c r="AN57" i="8"/>
  <c r="Y51" i="8"/>
  <c r="AN51" i="8"/>
  <c r="AQ51" i="8"/>
  <c r="Y47" i="8"/>
  <c r="AN47" i="8"/>
  <c r="AQ47" i="8"/>
  <c r="Y43" i="8"/>
  <c r="AN43" i="8"/>
  <c r="AQ43" i="8"/>
  <c r="Y38" i="8"/>
  <c r="AN38" i="8"/>
  <c r="AQ38" i="8"/>
  <c r="AN36" i="8"/>
  <c r="Y36" i="8"/>
  <c r="AQ36" i="8"/>
  <c r="Y50" i="8"/>
  <c r="AN50" i="8"/>
  <c r="AQ50" i="8"/>
  <c r="Y46" i="8"/>
  <c r="AN46" i="8"/>
  <c r="AQ46" i="8"/>
  <c r="AN42" i="8"/>
  <c r="AQ42" i="8"/>
  <c r="Y37" i="8"/>
  <c r="AQ37" i="8"/>
  <c r="AN37" i="8"/>
  <c r="Y40" i="8"/>
  <c r="AN40" i="8"/>
  <c r="AQ40" i="8"/>
  <c r="AQ59" i="8"/>
  <c r="AN59" i="8"/>
  <c r="Y52" i="8"/>
  <c r="AQ52" i="8"/>
  <c r="AN52" i="8"/>
  <c r="Y48" i="8"/>
  <c r="AN48" i="8"/>
  <c r="AQ48" i="8"/>
  <c r="Y44" i="8"/>
  <c r="AQ44" i="8"/>
  <c r="AN44" i="8"/>
  <c r="Y39" i="8"/>
  <c r="AN39" i="8"/>
  <c r="AQ39" i="8"/>
  <c r="BM43" i="21"/>
  <c r="BS43" i="21"/>
  <c r="AE11" i="21" s="1"/>
  <c r="AI11" i="21" s="1"/>
  <c r="BS55" i="21"/>
  <c r="AE23" i="21" s="1"/>
  <c r="AI23" i="21" s="1"/>
  <c r="BM55" i="21"/>
  <c r="BS59" i="21"/>
  <c r="BM59" i="21"/>
  <c r="BK59" i="21" s="1"/>
  <c r="BS38" i="21"/>
  <c r="AE6" i="21" s="1"/>
  <c r="AI6" i="21" s="1"/>
  <c r="BM38" i="21"/>
  <c r="BM49" i="21"/>
  <c r="BK49" i="21" s="1"/>
  <c r="BS49" i="21"/>
  <c r="AE17" i="21" s="1"/>
  <c r="AI17" i="21" s="1"/>
  <c r="BM45" i="21"/>
  <c r="BK45" i="21" s="1"/>
  <c r="BS45" i="21"/>
  <c r="BM44" i="21"/>
  <c r="BS44" i="21"/>
  <c r="AE12" i="21" s="1"/>
  <c r="AI12" i="21" s="1"/>
  <c r="BS46" i="21"/>
  <c r="AE14" i="21" s="1"/>
  <c r="AI14" i="21" s="1"/>
  <c r="BM46" i="21"/>
  <c r="BS40" i="21"/>
  <c r="BM40" i="21"/>
  <c r="BK40" i="21" s="1"/>
  <c r="BP64" i="21"/>
  <c r="BJ64" i="21"/>
  <c r="BQ49" i="21"/>
  <c r="BS52" i="21"/>
  <c r="AE20" i="21" s="1"/>
  <c r="AI20" i="21" s="1"/>
  <c r="BM52" i="21"/>
  <c r="BS48" i="21"/>
  <c r="BM48" i="21"/>
  <c r="BK48" i="21" s="1"/>
  <c r="BS42" i="21"/>
  <c r="AE10" i="21" s="1"/>
  <c r="AI10" i="21" s="1"/>
  <c r="BM42" i="21"/>
  <c r="BS60" i="21"/>
  <c r="AE28" i="21" s="1"/>
  <c r="AI28" i="21" s="1"/>
  <c r="BM60" i="21"/>
  <c r="BS63" i="21"/>
  <c r="AE31" i="21" s="1"/>
  <c r="AI31" i="21" s="1"/>
  <c r="BM63" i="21"/>
  <c r="BS56" i="21"/>
  <c r="BM56" i="21"/>
  <c r="BK56" i="21" s="1"/>
  <c r="BS57" i="21"/>
  <c r="BM57" i="21"/>
  <c r="BK57" i="21" s="1"/>
  <c r="BS50" i="21"/>
  <c r="BM50" i="21"/>
  <c r="BK50" i="21" s="1"/>
  <c r="BM39" i="21"/>
  <c r="BS39" i="21"/>
  <c r="AE7" i="21" s="1"/>
  <c r="AI7" i="21" s="1"/>
  <c r="BS54" i="21"/>
  <c r="AE22" i="21" s="1"/>
  <c r="AI22" i="21" s="1"/>
  <c r="BM54" i="21"/>
  <c r="BM58" i="21"/>
  <c r="BS58" i="21"/>
  <c r="AE26" i="21" s="1"/>
  <c r="AI26" i="21" s="1"/>
  <c r="BM37" i="21"/>
  <c r="BK37" i="21" s="1"/>
  <c r="BS37" i="21"/>
  <c r="BM47" i="21"/>
  <c r="BS47" i="21"/>
  <c r="AE15" i="21" s="1"/>
  <c r="AI15" i="21" s="1"/>
  <c r="BS36" i="21"/>
  <c r="BM36" i="21"/>
  <c r="BK36" i="21" s="1"/>
  <c r="BS51" i="21"/>
  <c r="AE19" i="21" s="1"/>
  <c r="AI19" i="21" s="1"/>
  <c r="BM51" i="21"/>
  <c r="BM53" i="21"/>
  <c r="BK53" i="21" s="1"/>
  <c r="BS53" i="21"/>
  <c r="BF54" i="21"/>
  <c r="BL54" i="21" s="1"/>
  <c r="BR54" i="21" s="1"/>
  <c r="BX54" i="21" s="1"/>
  <c r="CD54" i="21" s="1"/>
  <c r="BF60" i="21"/>
  <c r="BL60" i="21" s="1"/>
  <c r="BR60" i="21" s="1"/>
  <c r="BX60" i="21" s="1"/>
  <c r="CD60" i="21" s="1"/>
  <c r="BF58" i="21"/>
  <c r="BL58" i="21" s="1"/>
  <c r="BR58" i="21" s="1"/>
  <c r="BX58" i="21" s="1"/>
  <c r="CD58" i="21" s="1"/>
  <c r="BF51" i="21"/>
  <c r="BL51" i="21" s="1"/>
  <c r="BR51" i="21" s="1"/>
  <c r="BX51" i="21" s="1"/>
  <c r="BF39" i="21"/>
  <c r="BL39" i="21" s="1"/>
  <c r="BR39" i="21" s="1"/>
  <c r="BX39" i="21" s="1"/>
  <c r="CD39" i="21" s="1"/>
  <c r="CC39" i="21" s="1"/>
  <c r="CF39" i="21" s="1"/>
  <c r="N7" i="21" s="1"/>
  <c r="BF46" i="21"/>
  <c r="BL46" i="21" s="1"/>
  <c r="BR46" i="21" s="1"/>
  <c r="BX46" i="21" s="1"/>
  <c r="CD46" i="21" s="1"/>
  <c r="BF43" i="21"/>
  <c r="BL43" i="21" s="1"/>
  <c r="BR43" i="21" s="1"/>
  <c r="BX43" i="21" s="1"/>
  <c r="CD43" i="21" s="1"/>
  <c r="CC43" i="21" s="1"/>
  <c r="CF43" i="21" s="1"/>
  <c r="N11" i="21" s="1"/>
  <c r="BF44" i="21"/>
  <c r="BL44" i="21" s="1"/>
  <c r="BR44" i="21" s="1"/>
  <c r="BX44" i="21" s="1"/>
  <c r="CD44" i="21" s="1"/>
  <c r="BF52" i="21"/>
  <c r="BL52" i="21" s="1"/>
  <c r="BR52" i="21" s="1"/>
  <c r="BX52" i="21" s="1"/>
  <c r="CD52" i="21" s="1"/>
  <c r="BF47" i="21"/>
  <c r="BL47" i="21" s="1"/>
  <c r="BR47" i="21" s="1"/>
  <c r="BX47" i="21" s="1"/>
  <c r="BF55" i="21"/>
  <c r="BL55" i="21" s="1"/>
  <c r="BR55" i="21" s="1"/>
  <c r="BX55" i="21" s="1"/>
  <c r="BF62" i="21"/>
  <c r="BL62" i="21" s="1"/>
  <c r="BR62" i="21" s="1"/>
  <c r="BX62" i="21" s="1"/>
  <c r="CD62" i="21" s="1"/>
  <c r="AT64" i="21"/>
  <c r="BD64" i="21"/>
  <c r="BF38" i="21"/>
  <c r="BL38" i="21" s="1"/>
  <c r="BR38" i="21" s="1"/>
  <c r="BX38" i="21" s="1"/>
  <c r="CD38" i="21" s="1"/>
  <c r="CC38" i="21" s="1"/>
  <c r="CF38" i="21" s="1"/>
  <c r="N6" i="21" s="1"/>
  <c r="BF63" i="21"/>
  <c r="BL63" i="21" s="1"/>
  <c r="BR63" i="21" s="1"/>
  <c r="BX63" i="21" s="1"/>
  <c r="CD63" i="21" s="1"/>
  <c r="CC63" i="21" s="1"/>
  <c r="CF63" i="21" s="1"/>
  <c r="N31" i="21" s="1"/>
  <c r="BF42" i="21"/>
  <c r="BL42" i="21" s="1"/>
  <c r="BR42" i="21" s="1"/>
  <c r="BX42" i="21" s="1"/>
  <c r="CD42" i="21" s="1"/>
  <c r="AC54" i="21"/>
  <c r="H22" i="21" s="1"/>
  <c r="BG54" i="21"/>
  <c r="AD22" i="21" s="1"/>
  <c r="AH22" i="21" s="1"/>
  <c r="AM54" i="21"/>
  <c r="AC22" i="21" s="1"/>
  <c r="AG22" i="21" s="1"/>
  <c r="AW54" i="21"/>
  <c r="AU54" i="21" s="1"/>
  <c r="AC60" i="21"/>
  <c r="H28" i="21" s="1"/>
  <c r="BG60" i="21"/>
  <c r="AD28" i="21" s="1"/>
  <c r="AH28" i="21" s="1"/>
  <c r="AW60" i="21"/>
  <c r="AU60" i="21" s="1"/>
  <c r="BC60" i="21" s="1"/>
  <c r="AM60" i="21"/>
  <c r="AC42" i="21"/>
  <c r="H10" i="21" s="1"/>
  <c r="AW42" i="21"/>
  <c r="AU42" i="21" s="1"/>
  <c r="BG42" i="21"/>
  <c r="AD10" i="21" s="1"/>
  <c r="AH10" i="21" s="1"/>
  <c r="AM42" i="21"/>
  <c r="AC10" i="21" s="1"/>
  <c r="AG10" i="21" s="1"/>
  <c r="AC43" i="21"/>
  <c r="H11" i="21" s="1"/>
  <c r="AW43" i="21"/>
  <c r="AU43" i="21" s="1"/>
  <c r="BC43" i="21" s="1"/>
  <c r="BG43" i="21"/>
  <c r="AD11" i="21" s="1"/>
  <c r="AH11" i="21" s="1"/>
  <c r="AM43" i="21"/>
  <c r="AC11" i="21" s="1"/>
  <c r="AG11" i="21" s="1"/>
  <c r="AC63" i="21"/>
  <c r="H31" i="21" s="1"/>
  <c r="BG63" i="21"/>
  <c r="AD31" i="21" s="1"/>
  <c r="AH31" i="21" s="1"/>
  <c r="AM63" i="21"/>
  <c r="AC31" i="21" s="1"/>
  <c r="AG31" i="21" s="1"/>
  <c r="AW63" i="21"/>
  <c r="AU63" i="21" s="1"/>
  <c r="AC49" i="21"/>
  <c r="H17" i="21" s="1"/>
  <c r="AW49" i="21"/>
  <c r="AU49" i="21" s="1"/>
  <c r="BG49" i="21"/>
  <c r="AM49" i="21"/>
  <c r="AC17" i="21" s="1"/>
  <c r="AG17" i="21" s="1"/>
  <c r="AC38" i="21"/>
  <c r="H6" i="21" s="1"/>
  <c r="BG38" i="21"/>
  <c r="AD6" i="21" s="1"/>
  <c r="AH6" i="21" s="1"/>
  <c r="AM38" i="21"/>
  <c r="AC6" i="21" s="1"/>
  <c r="AG6" i="21" s="1"/>
  <c r="AW38" i="21"/>
  <c r="AU38" i="21" s="1"/>
  <c r="AC47" i="21"/>
  <c r="H15" i="21" s="1"/>
  <c r="BG47" i="21"/>
  <c r="AD15" i="21" s="1"/>
  <c r="AH15" i="21" s="1"/>
  <c r="AM47" i="21"/>
  <c r="AC15" i="21" s="1"/>
  <c r="AG15" i="21" s="1"/>
  <c r="AW47" i="21"/>
  <c r="AU47" i="21" s="1"/>
  <c r="AC50" i="21"/>
  <c r="H18" i="21" s="1"/>
  <c r="AW50" i="21"/>
  <c r="AU50" i="21" s="1"/>
  <c r="BC50" i="21" s="1"/>
  <c r="BG50" i="21"/>
  <c r="AM50" i="21"/>
  <c r="AC18" i="21" s="1"/>
  <c r="AG18" i="21" s="1"/>
  <c r="AC51" i="21"/>
  <c r="H19" i="21" s="1"/>
  <c r="AW51" i="21"/>
  <c r="AU51" i="21" s="1"/>
  <c r="BC51" i="21" s="1"/>
  <c r="BG51" i="21"/>
  <c r="AD19" i="21" s="1"/>
  <c r="AH19" i="21" s="1"/>
  <c r="AM51" i="21"/>
  <c r="AC19" i="21" s="1"/>
  <c r="AG19" i="21" s="1"/>
  <c r="AC37" i="21"/>
  <c r="H5" i="21" s="1"/>
  <c r="BG37" i="21"/>
  <c r="AM37" i="21"/>
  <c r="AC5" i="21" s="1"/>
  <c r="AG5" i="21" s="1"/>
  <c r="AW37" i="21"/>
  <c r="AU37" i="21" s="1"/>
  <c r="AC55" i="21"/>
  <c r="H23" i="21" s="1"/>
  <c r="BG55" i="21"/>
  <c r="AD23" i="21" s="1"/>
  <c r="AH23" i="21" s="1"/>
  <c r="AM55" i="21"/>
  <c r="AW55" i="21"/>
  <c r="AU55" i="21" s="1"/>
  <c r="BC55" i="21" s="1"/>
  <c r="AC58" i="21"/>
  <c r="H26" i="21" s="1"/>
  <c r="AW58" i="21"/>
  <c r="AU58" i="21" s="1"/>
  <c r="BG58" i="21"/>
  <c r="AD26" i="21" s="1"/>
  <c r="AH26" i="21" s="1"/>
  <c r="AM58" i="21"/>
  <c r="AC26" i="21" s="1"/>
  <c r="AG26" i="21" s="1"/>
  <c r="AC59" i="21"/>
  <c r="H27" i="21" s="1"/>
  <c r="AW59" i="21"/>
  <c r="AU59" i="21" s="1"/>
  <c r="BC59" i="21" s="1"/>
  <c r="BG59" i="21"/>
  <c r="AM59" i="21"/>
  <c r="AC27" i="21" s="1"/>
  <c r="AG27" i="21" s="1"/>
  <c r="AC45" i="21"/>
  <c r="H13" i="21" s="1"/>
  <c r="AW45" i="21"/>
  <c r="AU45" i="21" s="1"/>
  <c r="AM45" i="21"/>
  <c r="AC13" i="21" s="1"/>
  <c r="AG13" i="21" s="1"/>
  <c r="BG45" i="21"/>
  <c r="AC40" i="21"/>
  <c r="H8" i="21" s="1"/>
  <c r="AW40" i="21"/>
  <c r="AU40" i="21" s="1"/>
  <c r="BG40" i="21"/>
  <c r="AM40" i="21"/>
  <c r="AC8" i="21" s="1"/>
  <c r="AG8" i="21" s="1"/>
  <c r="AC36" i="21"/>
  <c r="H4" i="21" s="1"/>
  <c r="BG36" i="21"/>
  <c r="AM36" i="21"/>
  <c r="AC4" i="21" s="1"/>
  <c r="AW36" i="21"/>
  <c r="AU36" i="21" s="1"/>
  <c r="AC44" i="21"/>
  <c r="H12" i="21" s="1"/>
  <c r="BG44" i="21"/>
  <c r="AD12" i="21" s="1"/>
  <c r="AH12" i="21" s="1"/>
  <c r="AM44" i="21"/>
  <c r="AW44" i="21"/>
  <c r="AU44" i="21" s="1"/>
  <c r="BC44" i="21" s="1"/>
  <c r="AC53" i="21"/>
  <c r="H21" i="21" s="1"/>
  <c r="BG53" i="21"/>
  <c r="AM53" i="21"/>
  <c r="AC21" i="21" s="1"/>
  <c r="AG21" i="21" s="1"/>
  <c r="AW53" i="21"/>
  <c r="AU53" i="21" s="1"/>
  <c r="AC48" i="21"/>
  <c r="H16" i="21" s="1"/>
  <c r="AW48" i="21"/>
  <c r="AU48" i="21" s="1"/>
  <c r="BG48" i="21"/>
  <c r="AM48" i="21"/>
  <c r="AC16" i="21" s="1"/>
  <c r="AG16" i="21" s="1"/>
  <c r="AC41" i="21"/>
  <c r="H9" i="21" s="1"/>
  <c r="AW41" i="21"/>
  <c r="AU41" i="21" s="1"/>
  <c r="BC41" i="21" s="1"/>
  <c r="BG41" i="21"/>
  <c r="AM41" i="21"/>
  <c r="AC9" i="21" s="1"/>
  <c r="AG9" i="21" s="1"/>
  <c r="AC57" i="21"/>
  <c r="H25" i="21" s="1"/>
  <c r="BG57" i="21"/>
  <c r="AM57" i="21"/>
  <c r="AC25" i="21" s="1"/>
  <c r="AG25" i="21" s="1"/>
  <c r="AW57" i="21"/>
  <c r="AU57" i="21" s="1"/>
  <c r="BC57" i="21" s="1"/>
  <c r="AC46" i="21"/>
  <c r="H14" i="21" s="1"/>
  <c r="BG46" i="21"/>
  <c r="AD14" i="21" s="1"/>
  <c r="AH14" i="21" s="1"/>
  <c r="AM46" i="21"/>
  <c r="AW46" i="21"/>
  <c r="AU46" i="21" s="1"/>
  <c r="AC52" i="21"/>
  <c r="H20" i="21" s="1"/>
  <c r="BG52" i="21"/>
  <c r="AM52" i="21"/>
  <c r="AC20" i="21" s="1"/>
  <c r="AG20" i="21" s="1"/>
  <c r="AW52" i="21"/>
  <c r="AU52" i="21" s="1"/>
  <c r="BC52" i="21" s="1"/>
  <c r="AC39" i="21"/>
  <c r="H7" i="21" s="1"/>
  <c r="BG39" i="21"/>
  <c r="AD7" i="21" s="1"/>
  <c r="AH7" i="21" s="1"/>
  <c r="AM39" i="21"/>
  <c r="AW39" i="21"/>
  <c r="AU39" i="21" s="1"/>
  <c r="AC56" i="21"/>
  <c r="H24" i="21" s="1"/>
  <c r="BG56" i="21"/>
  <c r="AM56" i="21"/>
  <c r="AC24" i="21" s="1"/>
  <c r="AG24" i="21" s="1"/>
  <c r="AW56" i="21"/>
  <c r="AU56" i="21" s="1"/>
  <c r="BC56" i="21" s="1"/>
  <c r="AA64" i="21"/>
  <c r="AJ64" i="21"/>
  <c r="N62" i="8"/>
  <c r="N64" i="8" s="1"/>
  <c r="O62" i="8"/>
  <c r="O64" i="8" s="1"/>
  <c r="Q62" i="8"/>
  <c r="Q64" i="8" s="1"/>
  <c r="R62" i="8"/>
  <c r="R64" i="8" s="1"/>
  <c r="AB62" i="21"/>
  <c r="X62" i="21"/>
  <c r="Y62" i="21" s="1"/>
  <c r="G30" i="21" s="1"/>
  <c r="T62" i="21"/>
  <c r="U62" i="21" s="1"/>
  <c r="F30" i="21" s="1"/>
  <c r="S62" i="12"/>
  <c r="S64" i="12" s="1"/>
  <c r="W62" i="12"/>
  <c r="W64" i="12" s="1"/>
  <c r="P62" i="21"/>
  <c r="P64" i="21" s="1"/>
  <c r="Q36" i="21"/>
  <c r="E4" i="21" s="1"/>
  <c r="N64" i="21"/>
  <c r="AK62" i="21"/>
  <c r="AS62" i="21" s="1"/>
  <c r="Z64" i="21"/>
  <c r="AI64" i="21" s="1"/>
  <c r="V64" i="21"/>
  <c r="R64" i="21"/>
  <c r="AA62" i="12"/>
  <c r="AA64" i="12" s="1"/>
  <c r="R62" i="12"/>
  <c r="T36" i="12"/>
  <c r="U36" i="12" s="1"/>
  <c r="T60" i="12"/>
  <c r="U60" i="12" s="1"/>
  <c r="T59" i="12"/>
  <c r="U59" i="12" s="1"/>
  <c r="T57" i="12"/>
  <c r="U57" i="12" s="1"/>
  <c r="T56" i="12"/>
  <c r="U56" i="12" s="1"/>
  <c r="T54" i="12"/>
  <c r="U54" i="12" s="1"/>
  <c r="T52" i="12"/>
  <c r="U52" i="12" s="1"/>
  <c r="T51" i="12"/>
  <c r="U51" i="12" s="1"/>
  <c r="T50" i="12"/>
  <c r="U50" i="12" s="1"/>
  <c r="T49" i="12"/>
  <c r="U49" i="12" s="1"/>
  <c r="T48" i="12"/>
  <c r="U48" i="12" s="1"/>
  <c r="T47" i="12"/>
  <c r="U47" i="12" s="1"/>
  <c r="T46" i="12"/>
  <c r="U46" i="12" s="1"/>
  <c r="T45" i="12"/>
  <c r="U45" i="12" s="1"/>
  <c r="T44" i="12"/>
  <c r="U44" i="12" s="1"/>
  <c r="T43" i="12"/>
  <c r="U43" i="12" s="1"/>
  <c r="T42" i="12"/>
  <c r="U42" i="12" s="1"/>
  <c r="T40" i="12"/>
  <c r="U40" i="12" s="1"/>
  <c r="T39" i="12"/>
  <c r="U39" i="12" s="1"/>
  <c r="T38" i="12"/>
  <c r="U38" i="12" s="1"/>
  <c r="T37" i="12"/>
  <c r="U37" i="12" s="1"/>
  <c r="T63" i="12"/>
  <c r="U63" i="12" s="1"/>
  <c r="X36" i="12"/>
  <c r="Y36" i="12" s="1"/>
  <c r="G4" i="12" s="1"/>
  <c r="V62" i="12"/>
  <c r="X60" i="12"/>
  <c r="Y60" i="12" s="1"/>
  <c r="G28" i="12" s="1"/>
  <c r="X59" i="12"/>
  <c r="Y59" i="12" s="1"/>
  <c r="G27" i="12" s="1"/>
  <c r="X57" i="12"/>
  <c r="Y57" i="12" s="1"/>
  <c r="G25" i="12" s="1"/>
  <c r="X56" i="12"/>
  <c r="Y56" i="12" s="1"/>
  <c r="G24" i="12" s="1"/>
  <c r="X54" i="12"/>
  <c r="Y54" i="12" s="1"/>
  <c r="G22" i="12" s="1"/>
  <c r="X52" i="12"/>
  <c r="Y52" i="12" s="1"/>
  <c r="G20" i="12" s="1"/>
  <c r="X51" i="12"/>
  <c r="Y51" i="12" s="1"/>
  <c r="G19" i="12" s="1"/>
  <c r="X50" i="12"/>
  <c r="Y50" i="12" s="1"/>
  <c r="G18" i="12" s="1"/>
  <c r="X49" i="12"/>
  <c r="Y49" i="12" s="1"/>
  <c r="G17" i="12" s="1"/>
  <c r="X48" i="12"/>
  <c r="Y48" i="12" s="1"/>
  <c r="G16" i="12" s="1"/>
  <c r="X47" i="12"/>
  <c r="Y47" i="12" s="1"/>
  <c r="G15" i="12" s="1"/>
  <c r="X46" i="12"/>
  <c r="Y46" i="12" s="1"/>
  <c r="G14" i="12" s="1"/>
  <c r="X45" i="12"/>
  <c r="Y45" i="12" s="1"/>
  <c r="G13" i="12" s="1"/>
  <c r="X44" i="12"/>
  <c r="Y44" i="12" s="1"/>
  <c r="G12" i="12" s="1"/>
  <c r="X43" i="12"/>
  <c r="Y43" i="12" s="1"/>
  <c r="G11" i="12" s="1"/>
  <c r="X42" i="12"/>
  <c r="Y42" i="12" s="1"/>
  <c r="G10" i="12" s="1"/>
  <c r="X40" i="12"/>
  <c r="Y40" i="12" s="1"/>
  <c r="G8" i="12" s="1"/>
  <c r="X39" i="12"/>
  <c r="Y39" i="12" s="1"/>
  <c r="G7" i="12" s="1"/>
  <c r="X38" i="12"/>
  <c r="Y38" i="12" s="1"/>
  <c r="G6" i="12" s="1"/>
  <c r="X37" i="12"/>
  <c r="Y37" i="12" s="1"/>
  <c r="G5" i="12" s="1"/>
  <c r="X63" i="12"/>
  <c r="Y63" i="12" s="1"/>
  <c r="G31" i="12" s="1"/>
  <c r="AB36" i="12"/>
  <c r="Z62" i="12"/>
  <c r="AB60" i="12"/>
  <c r="AB59" i="12"/>
  <c r="AB57" i="12"/>
  <c r="AB56" i="12"/>
  <c r="AB54" i="12"/>
  <c r="AB52" i="12"/>
  <c r="AB51" i="12"/>
  <c r="AB50" i="12"/>
  <c r="AB49" i="12"/>
  <c r="AB48" i="12"/>
  <c r="AB47" i="12"/>
  <c r="AB46" i="12"/>
  <c r="AB45" i="12"/>
  <c r="AB44" i="12"/>
  <c r="AB43" i="12"/>
  <c r="AB42" i="12"/>
  <c r="AB40" i="12"/>
  <c r="AB39" i="12"/>
  <c r="AB38" i="12"/>
  <c r="AB37" i="12"/>
  <c r="AB63" i="12"/>
  <c r="X36" i="8"/>
  <c r="AC4" i="8" s="1"/>
  <c r="AG4" i="8" s="1"/>
  <c r="T62" i="8"/>
  <c r="AK36" i="8"/>
  <c r="AE36" i="8"/>
  <c r="U62" i="8"/>
  <c r="AK60" i="8"/>
  <c r="AE60" i="8"/>
  <c r="Y60" i="8"/>
  <c r="AK59" i="8"/>
  <c r="AE59" i="8"/>
  <c r="Y59" i="8"/>
  <c r="AK57" i="8"/>
  <c r="AE57" i="8"/>
  <c r="Y57" i="8"/>
  <c r="AK56" i="8"/>
  <c r="AE56" i="8"/>
  <c r="Y56" i="8"/>
  <c r="AK54" i="8"/>
  <c r="AE54" i="8"/>
  <c r="Y54" i="8"/>
  <c r="AK52" i="8"/>
  <c r="AE52" i="8"/>
  <c r="AK51" i="8"/>
  <c r="AE51" i="8"/>
  <c r="AK50" i="8"/>
  <c r="AE50" i="8"/>
  <c r="AK49" i="8"/>
  <c r="AE49" i="8"/>
  <c r="AK48" i="8"/>
  <c r="AE48" i="8"/>
  <c r="AK47" i="8"/>
  <c r="AE47" i="8"/>
  <c r="AK46" i="8"/>
  <c r="AE46" i="8"/>
  <c r="AK45" i="8"/>
  <c r="AE45" i="8"/>
  <c r="AK44" i="8"/>
  <c r="AE44" i="8"/>
  <c r="AK43" i="8"/>
  <c r="AE43" i="8"/>
  <c r="AK42" i="8"/>
  <c r="AE42" i="8"/>
  <c r="Y42" i="8"/>
  <c r="AK40" i="8"/>
  <c r="AE40" i="8"/>
  <c r="AK39" i="8"/>
  <c r="AE39" i="8"/>
  <c r="AK38" i="8"/>
  <c r="AE38" i="8"/>
  <c r="AK37" i="8"/>
  <c r="AE37" i="8"/>
  <c r="G31" i="20"/>
  <c r="F31" i="20"/>
  <c r="C31" i="20"/>
  <c r="B31" i="20"/>
  <c r="G29" i="20"/>
  <c r="F29" i="20"/>
  <c r="C29" i="20"/>
  <c r="B29" i="20"/>
  <c r="G28" i="20"/>
  <c r="F28" i="20"/>
  <c r="C28" i="20"/>
  <c r="B28" i="20"/>
  <c r="G27" i="20"/>
  <c r="F27" i="20"/>
  <c r="C27" i="20"/>
  <c r="B27" i="20"/>
  <c r="G26" i="20"/>
  <c r="F26" i="20"/>
  <c r="C26" i="20"/>
  <c r="B26" i="20"/>
  <c r="G25" i="20"/>
  <c r="F25" i="20"/>
  <c r="C25" i="20"/>
  <c r="B25" i="20"/>
  <c r="G24" i="20"/>
  <c r="F24" i="20"/>
  <c r="C24" i="20"/>
  <c r="B24" i="20"/>
  <c r="G23" i="20"/>
  <c r="F23" i="20"/>
  <c r="C23" i="20"/>
  <c r="B23" i="20"/>
  <c r="G22" i="20"/>
  <c r="F22" i="20"/>
  <c r="C22" i="20"/>
  <c r="B22" i="20"/>
  <c r="G21" i="20"/>
  <c r="F21" i="20"/>
  <c r="C21" i="20"/>
  <c r="B21" i="20"/>
  <c r="G20" i="20"/>
  <c r="F20" i="20"/>
  <c r="C20" i="20"/>
  <c r="B20" i="20"/>
  <c r="G19" i="20"/>
  <c r="F19" i="20"/>
  <c r="C19" i="20"/>
  <c r="B19" i="20"/>
  <c r="G18" i="20"/>
  <c r="F18" i="20"/>
  <c r="C18" i="20"/>
  <c r="B18" i="20"/>
  <c r="G17" i="20"/>
  <c r="F17" i="20"/>
  <c r="C17" i="20"/>
  <c r="B17" i="20"/>
  <c r="G16" i="20"/>
  <c r="F16" i="20"/>
  <c r="C16" i="20"/>
  <c r="B16" i="20"/>
  <c r="G15" i="20"/>
  <c r="F15" i="20"/>
  <c r="C15" i="20"/>
  <c r="B15" i="20"/>
  <c r="G14" i="20"/>
  <c r="F14" i="20"/>
  <c r="C14" i="20"/>
  <c r="B14" i="20"/>
  <c r="G13" i="20"/>
  <c r="F13" i="20"/>
  <c r="C13" i="20"/>
  <c r="B13" i="20"/>
  <c r="G12" i="20"/>
  <c r="F12" i="20"/>
  <c r="C12" i="20"/>
  <c r="B12" i="20"/>
  <c r="G11" i="20"/>
  <c r="F11" i="20"/>
  <c r="C11" i="20"/>
  <c r="B11" i="20"/>
  <c r="G10" i="20"/>
  <c r="F10" i="20"/>
  <c r="C10" i="20"/>
  <c r="B10" i="20"/>
  <c r="G9" i="20"/>
  <c r="F9" i="20"/>
  <c r="C9" i="20"/>
  <c r="B9" i="20"/>
  <c r="G8" i="20"/>
  <c r="F8" i="20"/>
  <c r="C8" i="20"/>
  <c r="B8" i="20"/>
  <c r="G7" i="20"/>
  <c r="F7" i="20"/>
  <c r="C7" i="20"/>
  <c r="B7" i="20"/>
  <c r="G6" i="20"/>
  <c r="F6" i="20"/>
  <c r="C6" i="20"/>
  <c r="B6" i="20"/>
  <c r="G5" i="20"/>
  <c r="F5" i="20"/>
  <c r="C5" i="20"/>
  <c r="B5" i="20"/>
  <c r="G31" i="17"/>
  <c r="F31" i="17"/>
  <c r="C31" i="17"/>
  <c r="B31" i="17"/>
  <c r="G29" i="17"/>
  <c r="F29" i="17"/>
  <c r="C29" i="17"/>
  <c r="B29" i="17"/>
  <c r="G28" i="17"/>
  <c r="F28" i="17"/>
  <c r="C28" i="17"/>
  <c r="B28" i="17"/>
  <c r="G27" i="17"/>
  <c r="F27" i="17"/>
  <c r="C27" i="17"/>
  <c r="B27" i="17"/>
  <c r="G26" i="17"/>
  <c r="F26" i="17"/>
  <c r="C26" i="17"/>
  <c r="B26" i="17"/>
  <c r="G25" i="17"/>
  <c r="F25" i="17"/>
  <c r="C25" i="17"/>
  <c r="B25" i="17"/>
  <c r="G24" i="17"/>
  <c r="F24" i="17"/>
  <c r="C24" i="17"/>
  <c r="B24" i="17"/>
  <c r="G23" i="17"/>
  <c r="F23" i="17"/>
  <c r="C23" i="17"/>
  <c r="B23" i="17"/>
  <c r="G22" i="17"/>
  <c r="F22" i="17"/>
  <c r="C22" i="17"/>
  <c r="B22" i="17"/>
  <c r="G21" i="17"/>
  <c r="F21" i="17"/>
  <c r="C21" i="17"/>
  <c r="B21" i="17"/>
  <c r="G20" i="17"/>
  <c r="F20" i="17"/>
  <c r="C20" i="17"/>
  <c r="B20" i="17"/>
  <c r="G19" i="17"/>
  <c r="F19" i="17"/>
  <c r="C19" i="17"/>
  <c r="B19" i="17"/>
  <c r="G18" i="17"/>
  <c r="F18" i="17"/>
  <c r="C18" i="17"/>
  <c r="B18" i="17"/>
  <c r="G17" i="17"/>
  <c r="F17" i="17"/>
  <c r="C17" i="17"/>
  <c r="B17" i="17"/>
  <c r="G16" i="17"/>
  <c r="F16" i="17"/>
  <c r="C16" i="17"/>
  <c r="B16" i="17"/>
  <c r="G15" i="17"/>
  <c r="F15" i="17"/>
  <c r="C15" i="17"/>
  <c r="B15" i="17"/>
  <c r="G14" i="17"/>
  <c r="F14" i="17"/>
  <c r="C14" i="17"/>
  <c r="B14" i="17"/>
  <c r="G13" i="17"/>
  <c r="I13" i="17" s="1"/>
  <c r="F13" i="17"/>
  <c r="C13" i="17"/>
  <c r="B13" i="17"/>
  <c r="G12" i="17"/>
  <c r="F12" i="17"/>
  <c r="C12" i="17"/>
  <c r="B12" i="17"/>
  <c r="G11" i="17"/>
  <c r="F11" i="17"/>
  <c r="C11" i="17"/>
  <c r="B11" i="17"/>
  <c r="G10" i="17"/>
  <c r="F10" i="17"/>
  <c r="C10" i="17"/>
  <c r="B10" i="17"/>
  <c r="G9" i="17"/>
  <c r="F9" i="17"/>
  <c r="C9" i="17"/>
  <c r="B9" i="17"/>
  <c r="G8" i="17"/>
  <c r="F8" i="17"/>
  <c r="C8" i="17"/>
  <c r="B8" i="17"/>
  <c r="G7" i="17"/>
  <c r="F7" i="17"/>
  <c r="C7" i="17"/>
  <c r="B7" i="17"/>
  <c r="G6" i="17"/>
  <c r="F6" i="17"/>
  <c r="C6" i="17"/>
  <c r="B6" i="17"/>
  <c r="G5" i="17"/>
  <c r="F5" i="17"/>
  <c r="C5" i="17"/>
  <c r="B5" i="17"/>
  <c r="G32" i="20"/>
  <c r="F32" i="20"/>
  <c r="C32" i="20"/>
  <c r="B32" i="20"/>
  <c r="G32" i="17"/>
  <c r="F32" i="17"/>
  <c r="C32" i="17"/>
  <c r="B32" i="17"/>
  <c r="C32" i="18"/>
  <c r="F32" i="18"/>
  <c r="G32" i="18"/>
  <c r="B32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1" i="18"/>
  <c r="B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1" i="18"/>
  <c r="AO3" i="10"/>
  <c r="AP3" i="10"/>
  <c r="AQ3" i="10"/>
  <c r="AR3" i="10"/>
  <c r="T10" i="10"/>
  <c r="V23" i="10"/>
  <c r="V26" i="10"/>
  <c r="P31" i="10"/>
  <c r="Q31" i="10"/>
  <c r="D62" i="20"/>
  <c r="V63" i="8" s="1"/>
  <c r="D60" i="20"/>
  <c r="V60" i="8" s="1"/>
  <c r="D59" i="20"/>
  <c r="V59" i="8" s="1"/>
  <c r="H27" i="8" s="1"/>
  <c r="D57" i="20"/>
  <c r="V57" i="8" s="1"/>
  <c r="H25" i="8" s="1"/>
  <c r="D56" i="20"/>
  <c r="V56" i="8" s="1"/>
  <c r="D54" i="20"/>
  <c r="V54" i="8" s="1"/>
  <c r="D52" i="20"/>
  <c r="V52" i="8" s="1"/>
  <c r="D51" i="20"/>
  <c r="V51" i="8" s="1"/>
  <c r="D50" i="20"/>
  <c r="V50" i="8" s="1"/>
  <c r="D49" i="20"/>
  <c r="V49" i="8" s="1"/>
  <c r="D48" i="20"/>
  <c r="V48" i="8" s="1"/>
  <c r="D47" i="20"/>
  <c r="V47" i="8" s="1"/>
  <c r="H15" i="8" s="1"/>
  <c r="D46" i="20"/>
  <c r="V46" i="8" s="1"/>
  <c r="H14" i="8" s="1"/>
  <c r="D45" i="20"/>
  <c r="V45" i="8" s="1"/>
  <c r="D44" i="20"/>
  <c r="V44" i="8" s="1"/>
  <c r="D43" i="20"/>
  <c r="V43" i="8" s="1"/>
  <c r="D42" i="20"/>
  <c r="V42" i="8" s="1"/>
  <c r="H10" i="8" s="1"/>
  <c r="D40" i="20"/>
  <c r="V40" i="8" s="1"/>
  <c r="D39" i="20"/>
  <c r="V39" i="8" s="1"/>
  <c r="D38" i="20"/>
  <c r="V38" i="8" s="1"/>
  <c r="D37" i="20"/>
  <c r="V37" i="8" s="1"/>
  <c r="H5" i="8" s="1"/>
  <c r="D36" i="20"/>
  <c r="V36" i="8" s="1"/>
  <c r="H4" i="8" s="1"/>
  <c r="O31" i="20"/>
  <c r="H31" i="20" s="1"/>
  <c r="L31" i="20"/>
  <c r="D31" i="20" s="1"/>
  <c r="O29" i="20"/>
  <c r="H29" i="20" s="1"/>
  <c r="L29" i="20"/>
  <c r="D29" i="20" s="1"/>
  <c r="O28" i="20"/>
  <c r="H28" i="20" s="1"/>
  <c r="I28" i="20" s="1"/>
  <c r="L28" i="20"/>
  <c r="D28" i="20" s="1"/>
  <c r="O27" i="20"/>
  <c r="H27" i="20" s="1"/>
  <c r="O26" i="20"/>
  <c r="H26" i="20" s="1"/>
  <c r="L26" i="20"/>
  <c r="D26" i="20" s="1"/>
  <c r="O25" i="20"/>
  <c r="H25" i="20" s="1"/>
  <c r="L25" i="20"/>
  <c r="D25" i="20" s="1"/>
  <c r="O24" i="20"/>
  <c r="H24" i="20" s="1"/>
  <c r="O23" i="20"/>
  <c r="H23" i="20" s="1"/>
  <c r="L23" i="20"/>
  <c r="D23" i="20" s="1"/>
  <c r="O22" i="20"/>
  <c r="H22" i="20" s="1"/>
  <c r="I22" i="20" s="1"/>
  <c r="O21" i="20"/>
  <c r="H21" i="20" s="1"/>
  <c r="L21" i="20"/>
  <c r="D21" i="20" s="1"/>
  <c r="O20" i="20"/>
  <c r="H20" i="20" s="1"/>
  <c r="L20" i="20"/>
  <c r="D20" i="20" s="1"/>
  <c r="O19" i="20"/>
  <c r="H19" i="20" s="1"/>
  <c r="L19" i="20"/>
  <c r="D19" i="20" s="1"/>
  <c r="O18" i="20"/>
  <c r="H18" i="20" s="1"/>
  <c r="L18" i="20"/>
  <c r="D18" i="20" s="1"/>
  <c r="O17" i="20"/>
  <c r="H17" i="20" s="1"/>
  <c r="L17" i="20"/>
  <c r="D17" i="20" s="1"/>
  <c r="O16" i="20"/>
  <c r="H16" i="20" s="1"/>
  <c r="L16" i="20"/>
  <c r="D16" i="20" s="1"/>
  <c r="O15" i="20"/>
  <c r="H15" i="20" s="1"/>
  <c r="L15" i="20"/>
  <c r="D15" i="20" s="1"/>
  <c r="O14" i="20"/>
  <c r="H14" i="20" s="1"/>
  <c r="L14" i="20"/>
  <c r="D14" i="20" s="1"/>
  <c r="O13" i="20"/>
  <c r="H13" i="20" s="1"/>
  <c r="L13" i="20"/>
  <c r="D13" i="20" s="1"/>
  <c r="O12" i="20"/>
  <c r="H12" i="20" s="1"/>
  <c r="L12" i="20"/>
  <c r="D12" i="20" s="1"/>
  <c r="O11" i="20"/>
  <c r="H11" i="20" s="1"/>
  <c r="L11" i="20"/>
  <c r="D11" i="20" s="1"/>
  <c r="O10" i="20"/>
  <c r="H10" i="20" s="1"/>
  <c r="O9" i="20"/>
  <c r="H9" i="20" s="1"/>
  <c r="L9" i="20"/>
  <c r="D9" i="20" s="1"/>
  <c r="O8" i="20"/>
  <c r="H8" i="20" s="1"/>
  <c r="I8" i="20" s="1"/>
  <c r="L8" i="20"/>
  <c r="D8" i="20" s="1"/>
  <c r="O7" i="20"/>
  <c r="H7" i="20" s="1"/>
  <c r="L7" i="20"/>
  <c r="D7" i="20" s="1"/>
  <c r="E7" i="20" s="1"/>
  <c r="O6" i="20"/>
  <c r="H6" i="20" s="1"/>
  <c r="I6" i="20" s="1"/>
  <c r="L6" i="20"/>
  <c r="D6" i="20" s="1"/>
  <c r="O5" i="20"/>
  <c r="L5" i="20"/>
  <c r="D5" i="20" s="1"/>
  <c r="D62" i="18"/>
  <c r="S63" i="8" s="1"/>
  <c r="G31" i="8" s="1"/>
  <c r="D60" i="18"/>
  <c r="S60" i="8" s="1"/>
  <c r="G28" i="8" s="1"/>
  <c r="D59" i="18"/>
  <c r="S59" i="8" s="1"/>
  <c r="G27" i="8" s="1"/>
  <c r="D57" i="18"/>
  <c r="S57" i="8" s="1"/>
  <c r="G25" i="8" s="1"/>
  <c r="D56" i="18"/>
  <c r="S56" i="8" s="1"/>
  <c r="G24" i="8" s="1"/>
  <c r="D54" i="18"/>
  <c r="S54" i="8" s="1"/>
  <c r="G22" i="8" s="1"/>
  <c r="D52" i="18"/>
  <c r="S52" i="8" s="1"/>
  <c r="G20" i="8" s="1"/>
  <c r="D51" i="18"/>
  <c r="S51" i="8" s="1"/>
  <c r="G19" i="8" s="1"/>
  <c r="D50" i="18"/>
  <c r="S50" i="8" s="1"/>
  <c r="G18" i="8" s="1"/>
  <c r="D49" i="18"/>
  <c r="S49" i="8" s="1"/>
  <c r="G17" i="8" s="1"/>
  <c r="D48" i="18"/>
  <c r="S48" i="8" s="1"/>
  <c r="G16" i="8" s="1"/>
  <c r="D47" i="18"/>
  <c r="S47" i="8" s="1"/>
  <c r="G15" i="8" s="1"/>
  <c r="D46" i="18"/>
  <c r="S46" i="8" s="1"/>
  <c r="G14" i="8" s="1"/>
  <c r="D45" i="18"/>
  <c r="S45" i="8" s="1"/>
  <c r="G13" i="8" s="1"/>
  <c r="D44" i="18"/>
  <c r="S44" i="8" s="1"/>
  <c r="G12" i="8" s="1"/>
  <c r="D43" i="18"/>
  <c r="S43" i="8" s="1"/>
  <c r="G11" i="8" s="1"/>
  <c r="D42" i="18"/>
  <c r="S42" i="8" s="1"/>
  <c r="G10" i="8" s="1"/>
  <c r="D40" i="18"/>
  <c r="S40" i="8" s="1"/>
  <c r="G8" i="8" s="1"/>
  <c r="D39" i="18"/>
  <c r="S39" i="8" s="1"/>
  <c r="G7" i="8" s="1"/>
  <c r="D38" i="18"/>
  <c r="S38" i="8" s="1"/>
  <c r="G6" i="8" s="1"/>
  <c r="D37" i="18"/>
  <c r="S37" i="8" s="1"/>
  <c r="G5" i="8" s="1"/>
  <c r="D36" i="18"/>
  <c r="S36" i="8" s="1"/>
  <c r="G4" i="8" s="1"/>
  <c r="O31" i="18"/>
  <c r="H31" i="18" s="1"/>
  <c r="L31" i="18"/>
  <c r="D31" i="18" s="1"/>
  <c r="G31" i="18"/>
  <c r="F31" i="18"/>
  <c r="O29" i="18"/>
  <c r="H29" i="18" s="1"/>
  <c r="L29" i="18"/>
  <c r="G29" i="18"/>
  <c r="F29" i="18"/>
  <c r="O28" i="18"/>
  <c r="H28" i="18" s="1"/>
  <c r="L28" i="18"/>
  <c r="G28" i="18"/>
  <c r="F28" i="18"/>
  <c r="O27" i="18"/>
  <c r="H27" i="18" s="1"/>
  <c r="G27" i="18"/>
  <c r="F27" i="18"/>
  <c r="O26" i="18"/>
  <c r="H26" i="18" s="1"/>
  <c r="L26" i="18"/>
  <c r="D26" i="18" s="1"/>
  <c r="G26" i="18"/>
  <c r="F26" i="18"/>
  <c r="O25" i="18"/>
  <c r="H25" i="18" s="1"/>
  <c r="L25" i="18"/>
  <c r="D25" i="18" s="1"/>
  <c r="G25" i="18"/>
  <c r="F25" i="18"/>
  <c r="O24" i="18"/>
  <c r="G24" i="18"/>
  <c r="F24" i="18"/>
  <c r="O23" i="18"/>
  <c r="H23" i="18" s="1"/>
  <c r="L23" i="18"/>
  <c r="D23" i="18" s="1"/>
  <c r="G23" i="18"/>
  <c r="F23" i="18"/>
  <c r="O22" i="18"/>
  <c r="H22" i="18" s="1"/>
  <c r="G22" i="18"/>
  <c r="F22" i="18"/>
  <c r="O21" i="18"/>
  <c r="L21" i="18"/>
  <c r="D21" i="18" s="1"/>
  <c r="G21" i="18"/>
  <c r="F21" i="18"/>
  <c r="O20" i="18"/>
  <c r="L20" i="18"/>
  <c r="D20" i="18" s="1"/>
  <c r="G20" i="18"/>
  <c r="F20" i="18"/>
  <c r="O19" i="18"/>
  <c r="H19" i="18" s="1"/>
  <c r="L19" i="18"/>
  <c r="D19" i="18" s="1"/>
  <c r="E19" i="18" s="1"/>
  <c r="G19" i="18"/>
  <c r="F19" i="18"/>
  <c r="O18" i="18"/>
  <c r="L18" i="18"/>
  <c r="D18" i="18" s="1"/>
  <c r="G18" i="18"/>
  <c r="F18" i="18"/>
  <c r="O17" i="18"/>
  <c r="L17" i="18"/>
  <c r="G17" i="18"/>
  <c r="F17" i="18"/>
  <c r="O16" i="18"/>
  <c r="H16" i="18" s="1"/>
  <c r="L16" i="18"/>
  <c r="G16" i="18"/>
  <c r="F16" i="18"/>
  <c r="O15" i="18"/>
  <c r="H15" i="18" s="1"/>
  <c r="L15" i="18"/>
  <c r="G15" i="18"/>
  <c r="F15" i="18"/>
  <c r="O14" i="18"/>
  <c r="H14" i="18" s="1"/>
  <c r="L14" i="18"/>
  <c r="D14" i="18" s="1"/>
  <c r="G14" i="18"/>
  <c r="F14" i="18"/>
  <c r="O13" i="18"/>
  <c r="H13" i="18" s="1"/>
  <c r="L13" i="18"/>
  <c r="D13" i="18" s="1"/>
  <c r="G13" i="18"/>
  <c r="F13" i="18"/>
  <c r="O12" i="18"/>
  <c r="L12" i="18"/>
  <c r="D12" i="18" s="1"/>
  <c r="G12" i="18"/>
  <c r="F12" i="18"/>
  <c r="O11" i="18"/>
  <c r="H11" i="18" s="1"/>
  <c r="L11" i="18"/>
  <c r="G11" i="18"/>
  <c r="F11" i="18"/>
  <c r="O10" i="18"/>
  <c r="G10" i="18"/>
  <c r="F10" i="18"/>
  <c r="O9" i="18"/>
  <c r="L9" i="18"/>
  <c r="G9" i="18"/>
  <c r="F9" i="18"/>
  <c r="O8" i="18"/>
  <c r="H8" i="18" s="1"/>
  <c r="L8" i="18"/>
  <c r="D8" i="18" s="1"/>
  <c r="G8" i="18"/>
  <c r="F8" i="18"/>
  <c r="O7" i="18"/>
  <c r="L7" i="18"/>
  <c r="D7" i="18" s="1"/>
  <c r="G7" i="18"/>
  <c r="F7" i="18"/>
  <c r="O6" i="18"/>
  <c r="L6" i="18"/>
  <c r="D6" i="18" s="1"/>
  <c r="G6" i="18"/>
  <c r="F6" i="18"/>
  <c r="O5" i="18"/>
  <c r="L5" i="18"/>
  <c r="G5" i="18"/>
  <c r="F5" i="18"/>
  <c r="C5" i="18"/>
  <c r="D62" i="17"/>
  <c r="P63" i="8" s="1"/>
  <c r="F31" i="8" s="1"/>
  <c r="D60" i="17"/>
  <c r="P60" i="8" s="1"/>
  <c r="F28" i="8" s="1"/>
  <c r="D59" i="17"/>
  <c r="P59" i="8" s="1"/>
  <c r="F27" i="8" s="1"/>
  <c r="D57" i="17"/>
  <c r="P57" i="8" s="1"/>
  <c r="F25" i="8" s="1"/>
  <c r="D56" i="17"/>
  <c r="P56" i="8" s="1"/>
  <c r="F24" i="8" s="1"/>
  <c r="D54" i="17"/>
  <c r="P54" i="8" s="1"/>
  <c r="F22" i="8" s="1"/>
  <c r="D52" i="17"/>
  <c r="P52" i="8" s="1"/>
  <c r="F20" i="8" s="1"/>
  <c r="D51" i="17"/>
  <c r="P51" i="8" s="1"/>
  <c r="F19" i="8" s="1"/>
  <c r="D50" i="17"/>
  <c r="P50" i="8" s="1"/>
  <c r="F18" i="8" s="1"/>
  <c r="D49" i="17"/>
  <c r="P49" i="8" s="1"/>
  <c r="F17" i="8" s="1"/>
  <c r="D48" i="17"/>
  <c r="P48" i="8" s="1"/>
  <c r="F16" i="8" s="1"/>
  <c r="D47" i="17"/>
  <c r="P47" i="8" s="1"/>
  <c r="F15" i="8" s="1"/>
  <c r="D46" i="17"/>
  <c r="P46" i="8" s="1"/>
  <c r="F14" i="8" s="1"/>
  <c r="D45" i="17"/>
  <c r="P45" i="8" s="1"/>
  <c r="F13" i="8" s="1"/>
  <c r="D44" i="17"/>
  <c r="P44" i="8" s="1"/>
  <c r="F12" i="8" s="1"/>
  <c r="D43" i="17"/>
  <c r="P43" i="8" s="1"/>
  <c r="F11" i="8" s="1"/>
  <c r="D42" i="17"/>
  <c r="P42" i="8" s="1"/>
  <c r="F10" i="8" s="1"/>
  <c r="D40" i="17"/>
  <c r="P40" i="8" s="1"/>
  <c r="F8" i="8" s="1"/>
  <c r="D39" i="17"/>
  <c r="P39" i="8" s="1"/>
  <c r="F7" i="8" s="1"/>
  <c r="D38" i="17"/>
  <c r="P38" i="8" s="1"/>
  <c r="F6" i="8" s="1"/>
  <c r="D37" i="17"/>
  <c r="P37" i="8" s="1"/>
  <c r="F5" i="8" s="1"/>
  <c r="D36" i="17"/>
  <c r="P36" i="8" s="1"/>
  <c r="F4" i="8" s="1"/>
  <c r="O31" i="17"/>
  <c r="H31" i="17" s="1"/>
  <c r="L31" i="17"/>
  <c r="D31" i="17" s="1"/>
  <c r="O29" i="17"/>
  <c r="H29" i="17" s="1"/>
  <c r="L29" i="17"/>
  <c r="D29" i="17" s="1"/>
  <c r="O28" i="17"/>
  <c r="H28" i="17" s="1"/>
  <c r="L28" i="17"/>
  <c r="D28" i="17" s="1"/>
  <c r="O27" i="17"/>
  <c r="H27" i="17" s="1"/>
  <c r="O26" i="17"/>
  <c r="H26" i="17" s="1"/>
  <c r="I26" i="17" s="1"/>
  <c r="L26" i="17"/>
  <c r="D26" i="17" s="1"/>
  <c r="O25" i="17"/>
  <c r="H25" i="17" s="1"/>
  <c r="L25" i="17"/>
  <c r="D25" i="17" s="1"/>
  <c r="O24" i="17"/>
  <c r="H24" i="17" s="1"/>
  <c r="I24" i="17" s="1"/>
  <c r="O23" i="17"/>
  <c r="H23" i="17" s="1"/>
  <c r="L23" i="17"/>
  <c r="D23" i="17" s="1"/>
  <c r="O22" i="17"/>
  <c r="H22" i="17" s="1"/>
  <c r="O21" i="17"/>
  <c r="H21" i="17" s="1"/>
  <c r="L21" i="17"/>
  <c r="D21" i="17" s="1"/>
  <c r="E21" i="17" s="1"/>
  <c r="O20" i="17"/>
  <c r="H20" i="17" s="1"/>
  <c r="L20" i="17"/>
  <c r="D20" i="17" s="1"/>
  <c r="O19" i="17"/>
  <c r="H19" i="17" s="1"/>
  <c r="L19" i="17"/>
  <c r="D19" i="17" s="1"/>
  <c r="E19" i="17" s="1"/>
  <c r="O18" i="17"/>
  <c r="H18" i="17" s="1"/>
  <c r="L18" i="17"/>
  <c r="D18" i="17" s="1"/>
  <c r="O17" i="17"/>
  <c r="H17" i="17" s="1"/>
  <c r="L17" i="17"/>
  <c r="D17" i="17" s="1"/>
  <c r="O16" i="17"/>
  <c r="H16" i="17" s="1"/>
  <c r="L16" i="17"/>
  <c r="D16" i="17" s="1"/>
  <c r="E16" i="17" s="1"/>
  <c r="O15" i="17"/>
  <c r="H15" i="17" s="1"/>
  <c r="L15" i="17"/>
  <c r="D15" i="17" s="1"/>
  <c r="E15" i="17" s="1"/>
  <c r="O14" i="17"/>
  <c r="H14" i="17" s="1"/>
  <c r="L14" i="17"/>
  <c r="D14" i="17" s="1"/>
  <c r="E14" i="17" s="1"/>
  <c r="O13" i="17"/>
  <c r="H13" i="17" s="1"/>
  <c r="L13" i="17"/>
  <c r="D13" i="17" s="1"/>
  <c r="O12" i="17"/>
  <c r="H12" i="17" s="1"/>
  <c r="L12" i="17"/>
  <c r="D12" i="17" s="1"/>
  <c r="E12" i="17" s="1"/>
  <c r="O11" i="17"/>
  <c r="H11" i="17" s="1"/>
  <c r="L11" i="17"/>
  <c r="D11" i="17" s="1"/>
  <c r="E11" i="17" s="1"/>
  <c r="O10" i="17"/>
  <c r="H10" i="17" s="1"/>
  <c r="O9" i="17"/>
  <c r="H9" i="17" s="1"/>
  <c r="L9" i="17"/>
  <c r="D9" i="17" s="1"/>
  <c r="O8" i="17"/>
  <c r="H8" i="17" s="1"/>
  <c r="L8" i="17"/>
  <c r="D8" i="17" s="1"/>
  <c r="O7" i="17"/>
  <c r="H7" i="17" s="1"/>
  <c r="L7" i="17"/>
  <c r="O6" i="17"/>
  <c r="H6" i="17" s="1"/>
  <c r="L6" i="17"/>
  <c r="D6" i="17" s="1"/>
  <c r="O5" i="17"/>
  <c r="H5" i="17" s="1"/>
  <c r="L5" i="17"/>
  <c r="D5" i="17" s="1"/>
  <c r="AQ10" i="8" l="1"/>
  <c r="AR10" i="8"/>
  <c r="AM10" i="8"/>
  <c r="AN10" i="8"/>
  <c r="AL4" i="8"/>
  <c r="AR4" i="8"/>
  <c r="AM4" i="8"/>
  <c r="AQ4" i="8"/>
  <c r="AN4" i="8"/>
  <c r="AQ5" i="8"/>
  <c r="AM5" i="8"/>
  <c r="AR5" i="8"/>
  <c r="AN5" i="8"/>
  <c r="AQ14" i="8"/>
  <c r="AN14" i="8"/>
  <c r="AR14" i="8"/>
  <c r="AM14" i="8"/>
  <c r="AM15" i="8"/>
  <c r="AQ15" i="8"/>
  <c r="AR15" i="8"/>
  <c r="AN15" i="8"/>
  <c r="AM25" i="8"/>
  <c r="AQ25" i="8"/>
  <c r="AR25" i="8"/>
  <c r="AN25" i="8"/>
  <c r="AQ27" i="8"/>
  <c r="AR27" i="8"/>
  <c r="AM27" i="8"/>
  <c r="AN27" i="8"/>
  <c r="AN39" i="21"/>
  <c r="K7" i="21" s="1"/>
  <c r="AC7" i="21"/>
  <c r="AG7" i="21" s="1"/>
  <c r="AN46" i="21"/>
  <c r="K14" i="21" s="1"/>
  <c r="AC14" i="21"/>
  <c r="AG14" i="21" s="1"/>
  <c r="BE41" i="21"/>
  <c r="BI41" i="21" s="1"/>
  <c r="AD9" i="21"/>
  <c r="AH9" i="21" s="1"/>
  <c r="AG4" i="21"/>
  <c r="BE50" i="21"/>
  <c r="BI50" i="21" s="1"/>
  <c r="AD18" i="21"/>
  <c r="AH18" i="21" s="1"/>
  <c r="CC62" i="21"/>
  <c r="CF62" i="21" s="1"/>
  <c r="N30" i="21" s="1"/>
  <c r="BW51" i="21"/>
  <c r="CD51" i="21"/>
  <c r="CC51" i="21" s="1"/>
  <c r="CF51" i="21" s="1"/>
  <c r="N19" i="21" s="1"/>
  <c r="BQ40" i="21"/>
  <c r="AE8" i="21"/>
  <c r="AI8" i="21" s="1"/>
  <c r="BW54" i="21"/>
  <c r="CC46" i="21"/>
  <c r="CF46" i="21" s="1"/>
  <c r="N14" i="21" s="1"/>
  <c r="AF14" i="21"/>
  <c r="AJ14" i="21" s="1"/>
  <c r="BW38" i="21"/>
  <c r="AF4" i="21"/>
  <c r="AJ4" i="21" s="1"/>
  <c r="CC36" i="21"/>
  <c r="CF36" i="21" s="1"/>
  <c r="N4" i="21" s="1"/>
  <c r="CC50" i="21"/>
  <c r="CF50" i="21" s="1"/>
  <c r="N18" i="21" s="1"/>
  <c r="AF18" i="21"/>
  <c r="AJ18" i="21" s="1"/>
  <c r="BZ56" i="21"/>
  <c r="CA56" i="21"/>
  <c r="BE53" i="21"/>
  <c r="BI53" i="21" s="1"/>
  <c r="AD21" i="21"/>
  <c r="AH21" i="21" s="1"/>
  <c r="BE36" i="21"/>
  <c r="BI36" i="21" s="1"/>
  <c r="AD4" i="21"/>
  <c r="AH4" i="21" s="1"/>
  <c r="BE37" i="21"/>
  <c r="BI37" i="21" s="1"/>
  <c r="AD5" i="21"/>
  <c r="AH5" i="21" s="1"/>
  <c r="BW55" i="21"/>
  <c r="CD55" i="21"/>
  <c r="CC55" i="21" s="1"/>
  <c r="CF55" i="21" s="1"/>
  <c r="N23" i="21" s="1"/>
  <c r="BQ36" i="21"/>
  <c r="AE4" i="21"/>
  <c r="AI4" i="21" s="1"/>
  <c r="BQ56" i="21"/>
  <c r="AE24" i="21"/>
  <c r="AI24" i="21" s="1"/>
  <c r="BQ48" i="21"/>
  <c r="AE16" i="21"/>
  <c r="AI16" i="21" s="1"/>
  <c r="CC54" i="21"/>
  <c r="CF54" i="21" s="1"/>
  <c r="N22" i="21" s="1"/>
  <c r="AF22" i="21"/>
  <c r="AJ22" i="21" s="1"/>
  <c r="BW46" i="21"/>
  <c r="BZ59" i="21"/>
  <c r="CA59" i="21"/>
  <c r="BZ50" i="21"/>
  <c r="CA50" i="21"/>
  <c r="CC56" i="21"/>
  <c r="CF56" i="21" s="1"/>
  <c r="N24" i="21" s="1"/>
  <c r="AF24" i="21"/>
  <c r="AJ24" i="21" s="1"/>
  <c r="BW47" i="21"/>
  <c r="CD47" i="21"/>
  <c r="CC47" i="21" s="1"/>
  <c r="CF47" i="21" s="1"/>
  <c r="N15" i="21" s="1"/>
  <c r="CC52" i="21"/>
  <c r="CF52" i="21" s="1"/>
  <c r="N20" i="21" s="1"/>
  <c r="AF20" i="21"/>
  <c r="AJ20" i="21" s="1"/>
  <c r="CC44" i="21"/>
  <c r="CF44" i="21" s="1"/>
  <c r="N12" i="21" s="1"/>
  <c r="AF12" i="21"/>
  <c r="AJ12" i="21" s="1"/>
  <c r="BZ37" i="21"/>
  <c r="CA37" i="21"/>
  <c r="CC57" i="21"/>
  <c r="CF57" i="21" s="1"/>
  <c r="N25" i="21" s="1"/>
  <c r="AF25" i="21"/>
  <c r="AJ25" i="21" s="1"/>
  <c r="BW63" i="21"/>
  <c r="AN60" i="21"/>
  <c r="K28" i="21" s="1"/>
  <c r="AC28" i="21"/>
  <c r="AG28" i="21" s="1"/>
  <c r="BK47" i="21"/>
  <c r="BW52" i="21"/>
  <c r="BW44" i="21"/>
  <c r="CC53" i="21"/>
  <c r="CF53" i="21" s="1"/>
  <c r="N21" i="21" s="1"/>
  <c r="AF21" i="21"/>
  <c r="AJ21" i="21" s="1"/>
  <c r="CC45" i="21"/>
  <c r="CF45" i="21" s="1"/>
  <c r="N13" i="21" s="1"/>
  <c r="AF13" i="21"/>
  <c r="AJ13" i="21" s="1"/>
  <c r="BZ57" i="21"/>
  <c r="CA57" i="21"/>
  <c r="CE62" i="21"/>
  <c r="AF30" i="21" s="1"/>
  <c r="AJ30" i="21" s="1"/>
  <c r="BY62" i="21"/>
  <c r="BW62" i="21" s="1"/>
  <c r="BE48" i="21"/>
  <c r="BI48" i="21" s="1"/>
  <c r="AD16" i="21"/>
  <c r="AH16" i="21" s="1"/>
  <c r="AN44" i="21"/>
  <c r="K12" i="21" s="1"/>
  <c r="AC12" i="21"/>
  <c r="AG12" i="21" s="1"/>
  <c r="BE40" i="21"/>
  <c r="BI40" i="21" s="1"/>
  <c r="AD8" i="21"/>
  <c r="AH8" i="21" s="1"/>
  <c r="BE59" i="21"/>
  <c r="BI59" i="21" s="1"/>
  <c r="AD27" i="21"/>
  <c r="AH27" i="21" s="1"/>
  <c r="AN55" i="21"/>
  <c r="AC23" i="21"/>
  <c r="AG23" i="21" s="1"/>
  <c r="BE49" i="21"/>
  <c r="BI49" i="21" s="1"/>
  <c r="AD17" i="21"/>
  <c r="AH17" i="21" s="1"/>
  <c r="R31" i="21"/>
  <c r="AB31" i="21"/>
  <c r="BQ53" i="21"/>
  <c r="AE21" i="21"/>
  <c r="AI21" i="21" s="1"/>
  <c r="BQ37" i="21"/>
  <c r="AE5" i="21"/>
  <c r="AI5" i="21" s="1"/>
  <c r="BK60" i="21"/>
  <c r="BO60" i="21" s="1"/>
  <c r="BT49" i="21"/>
  <c r="M17" i="21" s="1"/>
  <c r="BU49" i="21"/>
  <c r="BK44" i="21"/>
  <c r="BQ59" i="21"/>
  <c r="AE27" i="21"/>
  <c r="AI27" i="21" s="1"/>
  <c r="AB5" i="21"/>
  <c r="R5" i="21"/>
  <c r="BZ53" i="21"/>
  <c r="CA53" i="21"/>
  <c r="BZ45" i="21"/>
  <c r="CA45" i="21"/>
  <c r="BW58" i="21"/>
  <c r="BQ41" i="21"/>
  <c r="AE9" i="21"/>
  <c r="AI9" i="21" s="1"/>
  <c r="BW60" i="21"/>
  <c r="BE56" i="21"/>
  <c r="BI56" i="21" s="1"/>
  <c r="AD24" i="21"/>
  <c r="AH24" i="21" s="1"/>
  <c r="BE52" i="21"/>
  <c r="BI52" i="21" s="1"/>
  <c r="AD20" i="21"/>
  <c r="AH20" i="21" s="1"/>
  <c r="BE57" i="21"/>
  <c r="BI57" i="21" s="1"/>
  <c r="AD25" i="21"/>
  <c r="AH25" i="21" s="1"/>
  <c r="R6" i="21"/>
  <c r="AB6" i="21"/>
  <c r="AB11" i="21"/>
  <c r="R11" i="21"/>
  <c r="BQ50" i="21"/>
  <c r="AE18" i="21"/>
  <c r="AI18" i="21" s="1"/>
  <c r="BQ45" i="21"/>
  <c r="AE13" i="21"/>
  <c r="AI13" i="21" s="1"/>
  <c r="R8" i="21"/>
  <c r="AB8" i="21"/>
  <c r="CC49" i="21"/>
  <c r="CF49" i="21" s="1"/>
  <c r="N17" i="21" s="1"/>
  <c r="AF17" i="21"/>
  <c r="AJ17" i="21" s="1"/>
  <c r="CC58" i="21"/>
  <c r="CF58" i="21" s="1"/>
  <c r="N26" i="21" s="1"/>
  <c r="AF26" i="21"/>
  <c r="AJ26" i="21" s="1"/>
  <c r="BZ41" i="21"/>
  <c r="CA41" i="21"/>
  <c r="CC60" i="21"/>
  <c r="CF60" i="21" s="1"/>
  <c r="N28" i="21" s="1"/>
  <c r="AF28" i="21"/>
  <c r="AJ28" i="21" s="1"/>
  <c r="CC48" i="21"/>
  <c r="CF48" i="21" s="1"/>
  <c r="N16" i="21" s="1"/>
  <c r="AF16" i="21"/>
  <c r="AJ16" i="21" s="1"/>
  <c r="CA40" i="21"/>
  <c r="BZ40" i="21"/>
  <c r="BZ49" i="21"/>
  <c r="CA49" i="21"/>
  <c r="BW43" i="21"/>
  <c r="BW39" i="21"/>
  <c r="CC41" i="21"/>
  <c r="CF41" i="21" s="1"/>
  <c r="N9" i="21" s="1"/>
  <c r="AF9" i="21"/>
  <c r="AJ9" i="21" s="1"/>
  <c r="CC42" i="21"/>
  <c r="CF42" i="21" s="1"/>
  <c r="N10" i="21" s="1"/>
  <c r="AF10" i="21"/>
  <c r="AJ10" i="21" s="1"/>
  <c r="BE45" i="21"/>
  <c r="BI45" i="21" s="1"/>
  <c r="AD13" i="21"/>
  <c r="AH13" i="21" s="1"/>
  <c r="R7" i="21"/>
  <c r="AB7" i="21"/>
  <c r="BQ57" i="21"/>
  <c r="AE25" i="21"/>
  <c r="AI25" i="21" s="1"/>
  <c r="BZ48" i="21"/>
  <c r="CA48" i="21"/>
  <c r="CA36" i="21"/>
  <c r="BZ36" i="21"/>
  <c r="CC59" i="21"/>
  <c r="CF59" i="21" s="1"/>
  <c r="N27" i="21" s="1"/>
  <c r="BN41" i="21"/>
  <c r="BO41" i="21"/>
  <c r="BW42" i="21"/>
  <c r="BY39" i="12"/>
  <c r="CE39" i="12"/>
  <c r="BY40" i="12"/>
  <c r="CE40" i="12"/>
  <c r="CE49" i="12"/>
  <c r="AF17" i="12" s="1"/>
  <c r="AJ17" i="12" s="1"/>
  <c r="BY49" i="12"/>
  <c r="BY60" i="12"/>
  <c r="CE60" i="12"/>
  <c r="AF28" i="12" s="1"/>
  <c r="AJ28" i="12" s="1"/>
  <c r="BY47" i="12"/>
  <c r="CE47" i="12"/>
  <c r="BY48" i="12"/>
  <c r="CE48" i="12"/>
  <c r="BY59" i="12"/>
  <c r="CE59" i="12"/>
  <c r="BY42" i="12"/>
  <c r="CE42" i="12"/>
  <c r="BY50" i="12"/>
  <c r="CE50" i="12"/>
  <c r="Z64" i="12"/>
  <c r="AI64" i="12" s="1"/>
  <c r="AI62" i="12"/>
  <c r="BY38" i="12"/>
  <c r="CE38" i="12"/>
  <c r="BY57" i="12"/>
  <c r="CE57" i="12"/>
  <c r="BY44" i="12"/>
  <c r="CE44" i="12"/>
  <c r="BY52" i="12"/>
  <c r="CE52" i="12"/>
  <c r="CE43" i="12"/>
  <c r="BY43" i="12"/>
  <c r="CE36" i="12"/>
  <c r="BY36" i="12"/>
  <c r="BY63" i="12"/>
  <c r="CE63" i="12"/>
  <c r="AF31" i="12" s="1"/>
  <c r="AJ31" i="12" s="1"/>
  <c r="BY45" i="12"/>
  <c r="CE45" i="12"/>
  <c r="BY54" i="12"/>
  <c r="CE54" i="12"/>
  <c r="CE51" i="12"/>
  <c r="BY51" i="12"/>
  <c r="BY37" i="12"/>
  <c r="CE37" i="12"/>
  <c r="BY46" i="12"/>
  <c r="CE46" i="12"/>
  <c r="BY56" i="12"/>
  <c r="CE56" i="12"/>
  <c r="H17" i="8"/>
  <c r="AO11" i="8"/>
  <c r="H11" i="8"/>
  <c r="H19" i="8"/>
  <c r="AX63" i="8"/>
  <c r="N31" i="8" s="1"/>
  <c r="AC31" i="8"/>
  <c r="AG31" i="8" s="1"/>
  <c r="H12" i="8"/>
  <c r="H20" i="8"/>
  <c r="H18" i="8"/>
  <c r="AP18" i="8" s="1"/>
  <c r="H13" i="8"/>
  <c r="H22" i="8"/>
  <c r="T64" i="8"/>
  <c r="X64" i="8" s="1"/>
  <c r="AD64" i="8" s="1"/>
  <c r="AJ64" i="8" s="1"/>
  <c r="AM64" i="8" s="1"/>
  <c r="AP64" i="8" s="1"/>
  <c r="AS64" i="8" s="1"/>
  <c r="AV64" i="8" s="1"/>
  <c r="AF32" i="8" s="1"/>
  <c r="AJ32" i="8" s="1"/>
  <c r="X62" i="8"/>
  <c r="AD62" i="8" s="1"/>
  <c r="AJ62" i="8" s="1"/>
  <c r="AM62" i="8" s="1"/>
  <c r="AP62" i="8" s="1"/>
  <c r="AS62" i="8" s="1"/>
  <c r="AV62" i="8" s="1"/>
  <c r="AF30" i="8" s="1"/>
  <c r="AJ30" i="8" s="1"/>
  <c r="AK8" i="8"/>
  <c r="H8" i="8"/>
  <c r="U64" i="8"/>
  <c r="AQ62" i="8"/>
  <c r="AT62" i="8"/>
  <c r="AN62" i="8"/>
  <c r="AW62" i="8"/>
  <c r="AE62" i="8"/>
  <c r="AK62" i="8"/>
  <c r="Y62" i="8"/>
  <c r="H24" i="8"/>
  <c r="AU63" i="8"/>
  <c r="H28" i="8"/>
  <c r="H31" i="8"/>
  <c r="H6" i="8"/>
  <c r="H7" i="8"/>
  <c r="H16" i="8"/>
  <c r="BQ54" i="21"/>
  <c r="BN47" i="21"/>
  <c r="BO47" i="21"/>
  <c r="BK39" i="21"/>
  <c r="BQ63" i="21"/>
  <c r="BK52" i="21"/>
  <c r="BQ46" i="21"/>
  <c r="BK38" i="21"/>
  <c r="BM62" i="21"/>
  <c r="BK62" i="21" s="1"/>
  <c r="BS62" i="21"/>
  <c r="K23" i="21"/>
  <c r="BN50" i="21"/>
  <c r="BO50" i="21"/>
  <c r="BQ52" i="21"/>
  <c r="BQ44" i="21"/>
  <c r="BQ38" i="21"/>
  <c r="BN53" i="21"/>
  <c r="BO53" i="21"/>
  <c r="BN37" i="21"/>
  <c r="BO37" i="21"/>
  <c r="BN44" i="21"/>
  <c r="BO44" i="21"/>
  <c r="BN59" i="21"/>
  <c r="BO59" i="21"/>
  <c r="BK51" i="21"/>
  <c r="BQ58" i="21"/>
  <c r="BN57" i="21"/>
  <c r="BO57" i="21"/>
  <c r="BK42" i="21"/>
  <c r="BQ51" i="21"/>
  <c r="BK58" i="21"/>
  <c r="BQ42" i="21"/>
  <c r="BN45" i="21"/>
  <c r="BO45" i="21"/>
  <c r="BK55" i="21"/>
  <c r="BN36" i="21"/>
  <c r="BO36" i="21"/>
  <c r="BK54" i="21"/>
  <c r="BN56" i="21"/>
  <c r="BO56" i="21"/>
  <c r="BN40" i="21"/>
  <c r="BO40" i="21"/>
  <c r="BQ55" i="21"/>
  <c r="BN48" i="21"/>
  <c r="BO48" i="21"/>
  <c r="BQ43" i="21"/>
  <c r="BQ60" i="21"/>
  <c r="BQ47" i="21"/>
  <c r="BQ39" i="21"/>
  <c r="BK63" i="21"/>
  <c r="BK46" i="21"/>
  <c r="BN49" i="21"/>
  <c r="BO49" i="21"/>
  <c r="BK43" i="21"/>
  <c r="AN45" i="21"/>
  <c r="K13" i="21" s="1"/>
  <c r="AN38" i="21"/>
  <c r="K6" i="21" s="1"/>
  <c r="BE54" i="21"/>
  <c r="BI54" i="21" s="1"/>
  <c r="BS39" i="12"/>
  <c r="AE7" i="12" s="1"/>
  <c r="AI7" i="12" s="1"/>
  <c r="BM39" i="12"/>
  <c r="BS48" i="12"/>
  <c r="AE16" i="12" s="1"/>
  <c r="AI16" i="12" s="1"/>
  <c r="BM48" i="12"/>
  <c r="BS59" i="12"/>
  <c r="AE27" i="12" s="1"/>
  <c r="AI27" i="12" s="1"/>
  <c r="BM59" i="12"/>
  <c r="BS40" i="12"/>
  <c r="AE8" i="12" s="1"/>
  <c r="AI8" i="12" s="1"/>
  <c r="BM40" i="12"/>
  <c r="BM49" i="12"/>
  <c r="BS49" i="12"/>
  <c r="AE17" i="12" s="1"/>
  <c r="AI17" i="12" s="1"/>
  <c r="BM60" i="12"/>
  <c r="BS60" i="12"/>
  <c r="AE28" i="12" s="1"/>
  <c r="AI28" i="12" s="1"/>
  <c r="BS42" i="12"/>
  <c r="AE10" i="12" s="1"/>
  <c r="AI10" i="12" s="1"/>
  <c r="BM42" i="12"/>
  <c r="BS50" i="12"/>
  <c r="AE18" i="12" s="1"/>
  <c r="AI18" i="12" s="1"/>
  <c r="BM50" i="12"/>
  <c r="BS43" i="12"/>
  <c r="AE11" i="12" s="1"/>
  <c r="AI11" i="12" s="1"/>
  <c r="BM43" i="12"/>
  <c r="BS51" i="12"/>
  <c r="AE19" i="12" s="1"/>
  <c r="AI19" i="12" s="1"/>
  <c r="BM51" i="12"/>
  <c r="BS36" i="12"/>
  <c r="BM36" i="12"/>
  <c r="BS44" i="12"/>
  <c r="AE12" i="12" s="1"/>
  <c r="AI12" i="12" s="1"/>
  <c r="BM44" i="12"/>
  <c r="BS52" i="12"/>
  <c r="AE20" i="12" s="1"/>
  <c r="AI20" i="12" s="1"/>
  <c r="BM52" i="12"/>
  <c r="BS63" i="12"/>
  <c r="AE31" i="12" s="1"/>
  <c r="AI31" i="12" s="1"/>
  <c r="BM63" i="12"/>
  <c r="BS45" i="12"/>
  <c r="AE13" i="12" s="1"/>
  <c r="AI13" i="12" s="1"/>
  <c r="BM45" i="12"/>
  <c r="BS54" i="12"/>
  <c r="AE22" i="12" s="1"/>
  <c r="AI22" i="12" s="1"/>
  <c r="BM54" i="12"/>
  <c r="BM37" i="12"/>
  <c r="BS37" i="12"/>
  <c r="AE5" i="12" s="1"/>
  <c r="AI5" i="12" s="1"/>
  <c r="BS46" i="12"/>
  <c r="AE14" i="12" s="1"/>
  <c r="AI14" i="12" s="1"/>
  <c r="BM46" i="12"/>
  <c r="BS56" i="12"/>
  <c r="AE24" i="12" s="1"/>
  <c r="AI24" i="12" s="1"/>
  <c r="BM56" i="12"/>
  <c r="BS38" i="12"/>
  <c r="AE6" i="12" s="1"/>
  <c r="AI6" i="12" s="1"/>
  <c r="BM38" i="12"/>
  <c r="BS47" i="12"/>
  <c r="AE15" i="12" s="1"/>
  <c r="AI15" i="12" s="1"/>
  <c r="BM47" i="12"/>
  <c r="BS57" i="12"/>
  <c r="AE25" i="12" s="1"/>
  <c r="AI25" i="12" s="1"/>
  <c r="BM57" i="12"/>
  <c r="E20" i="17"/>
  <c r="E18" i="17"/>
  <c r="I18" i="17"/>
  <c r="E17" i="17"/>
  <c r="E13" i="17"/>
  <c r="I17" i="17"/>
  <c r="E5" i="17"/>
  <c r="I10" i="17"/>
  <c r="E9" i="17"/>
  <c r="I14" i="17"/>
  <c r="E5" i="20"/>
  <c r="E9" i="20"/>
  <c r="I27" i="20"/>
  <c r="E23" i="20"/>
  <c r="I23" i="20"/>
  <c r="BE63" i="21"/>
  <c r="BI63" i="21" s="1"/>
  <c r="AO28" i="8"/>
  <c r="AP17" i="8"/>
  <c r="AP8" i="8"/>
  <c r="BE60" i="21"/>
  <c r="BI60" i="21" s="1"/>
  <c r="E6" i="20"/>
  <c r="I13" i="20"/>
  <c r="I24" i="20"/>
  <c r="AO4" i="8"/>
  <c r="BE47" i="21"/>
  <c r="BI47" i="21" s="1"/>
  <c r="BE51" i="21"/>
  <c r="BI51" i="21" s="1"/>
  <c r="I16" i="20"/>
  <c r="AN58" i="21"/>
  <c r="K26" i="21" s="1"/>
  <c r="AN41" i="21"/>
  <c r="BE46" i="21"/>
  <c r="BI46" i="21" s="1"/>
  <c r="AL11" i="8"/>
  <c r="I21" i="20"/>
  <c r="I12" i="20"/>
  <c r="AL8" i="8"/>
  <c r="E29" i="20"/>
  <c r="AP11" i="8"/>
  <c r="I7" i="20"/>
  <c r="I29" i="20"/>
  <c r="AL17" i="8"/>
  <c r="AN50" i="21"/>
  <c r="BE44" i="21"/>
  <c r="BI44" i="21" s="1"/>
  <c r="H32" i="17"/>
  <c r="I32" i="17" s="1"/>
  <c r="AL25" i="8"/>
  <c r="AK25" i="8"/>
  <c r="AO25" i="8"/>
  <c r="AP25" i="8"/>
  <c r="AK7" i="8"/>
  <c r="I16" i="18"/>
  <c r="I31" i="20"/>
  <c r="I28" i="17"/>
  <c r="E31" i="17"/>
  <c r="AO15" i="8"/>
  <c r="AP15" i="8"/>
  <c r="AL15" i="8"/>
  <c r="AK15" i="8"/>
  <c r="D32" i="17"/>
  <c r="E32" i="17" s="1"/>
  <c r="D7" i="17"/>
  <c r="E7" i="17" s="1"/>
  <c r="AO27" i="8"/>
  <c r="AL27" i="8"/>
  <c r="I9" i="20"/>
  <c r="AP27" i="8"/>
  <c r="AP10" i="8"/>
  <c r="AL10" i="8"/>
  <c r="AK10" i="8"/>
  <c r="E15" i="20"/>
  <c r="AL20" i="8"/>
  <c r="AO20" i="8"/>
  <c r="AK20" i="8"/>
  <c r="I19" i="18"/>
  <c r="E23" i="17"/>
  <c r="E19" i="20"/>
  <c r="I20" i="20"/>
  <c r="AK27" i="8"/>
  <c r="BE43" i="21"/>
  <c r="BI43" i="21" s="1"/>
  <c r="E11" i="20"/>
  <c r="AL16" i="8"/>
  <c r="I25" i="17"/>
  <c r="H10" i="18"/>
  <c r="H32" i="18"/>
  <c r="I32" i="18" s="1"/>
  <c r="E8" i="20"/>
  <c r="AL12" i="8"/>
  <c r="H32" i="20"/>
  <c r="I32" i="20" s="1"/>
  <c r="AO5" i="8"/>
  <c r="AL5" i="8"/>
  <c r="AK5" i="8"/>
  <c r="AP5" i="8"/>
  <c r="AO14" i="8"/>
  <c r="AL14" i="8"/>
  <c r="AK14" i="8"/>
  <c r="AP14" i="8"/>
  <c r="AO24" i="8"/>
  <c r="AP24" i="8"/>
  <c r="I6" i="17"/>
  <c r="E8" i="17"/>
  <c r="I21" i="17"/>
  <c r="H5" i="20"/>
  <c r="I5" i="20" s="1"/>
  <c r="I17" i="20"/>
  <c r="AO10" i="8"/>
  <c r="AK24" i="8"/>
  <c r="I5" i="17"/>
  <c r="I9" i="17"/>
  <c r="E26" i="17"/>
  <c r="I27" i="17"/>
  <c r="E14" i="20"/>
  <c r="E18" i="20"/>
  <c r="E25" i="20"/>
  <c r="I26" i="20"/>
  <c r="E28" i="20"/>
  <c r="AP4" i="8"/>
  <c r="AK11" i="8"/>
  <c r="AL28" i="8"/>
  <c r="E29" i="17"/>
  <c r="I11" i="20"/>
  <c r="I15" i="20"/>
  <c r="I19" i="20"/>
  <c r="AK13" i="8"/>
  <c r="AO8" i="8"/>
  <c r="AK4" i="8"/>
  <c r="BC58" i="21"/>
  <c r="I12" i="17"/>
  <c r="I16" i="17"/>
  <c r="I20" i="17"/>
  <c r="I23" i="18"/>
  <c r="I8" i="17"/>
  <c r="I23" i="17"/>
  <c r="E25" i="17"/>
  <c r="I31" i="17"/>
  <c r="E13" i="20"/>
  <c r="E17" i="20"/>
  <c r="E21" i="20"/>
  <c r="AK22" i="8"/>
  <c r="AL13" i="8"/>
  <c r="AK17" i="8"/>
  <c r="BE58" i="21"/>
  <c r="BI58" i="21" s="1"/>
  <c r="BE42" i="21"/>
  <c r="BI42" i="21" s="1"/>
  <c r="I19" i="17"/>
  <c r="E28" i="17"/>
  <c r="I10" i="20"/>
  <c r="I14" i="20"/>
  <c r="I18" i="20"/>
  <c r="I25" i="20"/>
  <c r="AK28" i="8"/>
  <c r="BE38" i="21"/>
  <c r="BI38" i="21" s="1"/>
  <c r="BE39" i="21"/>
  <c r="BI39" i="21" s="1"/>
  <c r="E6" i="17"/>
  <c r="I11" i="17"/>
  <c r="I15" i="17"/>
  <c r="E31" i="18"/>
  <c r="I7" i="17"/>
  <c r="I22" i="17"/>
  <c r="I29" i="17"/>
  <c r="E12" i="20"/>
  <c r="E16" i="20"/>
  <c r="E20" i="20"/>
  <c r="E31" i="20"/>
  <c r="BE55" i="21"/>
  <c r="AX54" i="21"/>
  <c r="BC54" i="21"/>
  <c r="AX46" i="21"/>
  <c r="BC46" i="21"/>
  <c r="AX45" i="21"/>
  <c r="BC45" i="21"/>
  <c r="AX53" i="21"/>
  <c r="BC53" i="21"/>
  <c r="AX48" i="21"/>
  <c r="BC48" i="21"/>
  <c r="AX40" i="21"/>
  <c r="BC40" i="21"/>
  <c r="AN42" i="21"/>
  <c r="AX38" i="21"/>
  <c r="BC38" i="21"/>
  <c r="AX39" i="21"/>
  <c r="BC39" i="21"/>
  <c r="X62" i="12"/>
  <c r="Y62" i="12" s="1"/>
  <c r="G30" i="12" s="1"/>
  <c r="AC37" i="12"/>
  <c r="H5" i="12" s="1"/>
  <c r="AW37" i="12"/>
  <c r="BG37" i="12"/>
  <c r="AM37" i="12"/>
  <c r="AC5" i="12" s="1"/>
  <c r="AG5" i="12" s="1"/>
  <c r="AC46" i="12"/>
  <c r="H14" i="12" s="1"/>
  <c r="AW46" i="12"/>
  <c r="BG46" i="12"/>
  <c r="AM46" i="12"/>
  <c r="AC56" i="12"/>
  <c r="H24" i="12" s="1"/>
  <c r="AW56" i="12"/>
  <c r="BG56" i="12"/>
  <c r="AM56" i="12"/>
  <c r="AC38" i="12"/>
  <c r="H6" i="12" s="1"/>
  <c r="AW38" i="12"/>
  <c r="AM38" i="12"/>
  <c r="AL38" i="12" s="1"/>
  <c r="AV38" i="12" s="1"/>
  <c r="BG38" i="12"/>
  <c r="AC47" i="12"/>
  <c r="H15" i="12" s="1"/>
  <c r="AW47" i="12"/>
  <c r="BG47" i="12"/>
  <c r="AM47" i="12"/>
  <c r="AC15" i="12" s="1"/>
  <c r="AG15" i="12" s="1"/>
  <c r="AC57" i="12"/>
  <c r="H25" i="12" s="1"/>
  <c r="BG57" i="12"/>
  <c r="AM57" i="12"/>
  <c r="AW57" i="12"/>
  <c r="AC48" i="12"/>
  <c r="H16" i="12" s="1"/>
  <c r="BG48" i="12"/>
  <c r="AM48" i="12"/>
  <c r="AW48" i="12"/>
  <c r="AC40" i="12"/>
  <c r="H8" i="12" s="1"/>
  <c r="AW40" i="12"/>
  <c r="BG40" i="12"/>
  <c r="AM40" i="12"/>
  <c r="AC8" i="12" s="1"/>
  <c r="AG8" i="12" s="1"/>
  <c r="AC49" i="12"/>
  <c r="H17" i="12" s="1"/>
  <c r="BG49" i="12"/>
  <c r="AM49" i="12"/>
  <c r="AW49" i="12"/>
  <c r="AC60" i="12"/>
  <c r="H28" i="12" s="1"/>
  <c r="AM60" i="12"/>
  <c r="AW60" i="12"/>
  <c r="BG60" i="12"/>
  <c r="AC42" i="12"/>
  <c r="H10" i="12" s="1"/>
  <c r="BG42" i="12"/>
  <c r="AM42" i="12"/>
  <c r="AW42" i="12"/>
  <c r="AC50" i="12"/>
  <c r="H18" i="12" s="1"/>
  <c r="BG50" i="12"/>
  <c r="AM50" i="12"/>
  <c r="AL50" i="12" s="1"/>
  <c r="AV50" i="12" s="1"/>
  <c r="AW50" i="12"/>
  <c r="AC39" i="12"/>
  <c r="H7" i="12" s="1"/>
  <c r="AW39" i="12"/>
  <c r="BG39" i="12"/>
  <c r="AM39" i="12"/>
  <c r="AC43" i="12"/>
  <c r="H11" i="12" s="1"/>
  <c r="BG43" i="12"/>
  <c r="AM43" i="12"/>
  <c r="AW43" i="12"/>
  <c r="AC51" i="12"/>
  <c r="H19" i="12" s="1"/>
  <c r="BG51" i="12"/>
  <c r="AM51" i="12"/>
  <c r="AC19" i="12" s="1"/>
  <c r="AG19" i="12" s="1"/>
  <c r="AW51" i="12"/>
  <c r="AC36" i="12"/>
  <c r="H4" i="12" s="1"/>
  <c r="AM36" i="12"/>
  <c r="AL36" i="12" s="1"/>
  <c r="AV36" i="12" s="1"/>
  <c r="BF36" i="12" s="1"/>
  <c r="BL36" i="12" s="1"/>
  <c r="BR36" i="12" s="1"/>
  <c r="BX36" i="12" s="1"/>
  <c r="AW36" i="12"/>
  <c r="BG36" i="12"/>
  <c r="AC59" i="12"/>
  <c r="H27" i="12" s="1"/>
  <c r="BG59" i="12"/>
  <c r="AM59" i="12"/>
  <c r="AW59" i="12"/>
  <c r="AC44" i="12"/>
  <c r="H12" i="12" s="1"/>
  <c r="BG44" i="12"/>
  <c r="AW44" i="12"/>
  <c r="AM44" i="12"/>
  <c r="AL44" i="12" s="1"/>
  <c r="AV44" i="12" s="1"/>
  <c r="BF44" i="12" s="1"/>
  <c r="BL44" i="12" s="1"/>
  <c r="AC52" i="12"/>
  <c r="H20" i="12" s="1"/>
  <c r="AW52" i="12"/>
  <c r="BG52" i="12"/>
  <c r="AM52" i="12"/>
  <c r="AC63" i="12"/>
  <c r="H31" i="12" s="1"/>
  <c r="AW63" i="12"/>
  <c r="BG63" i="12"/>
  <c r="AD31" i="12" s="1"/>
  <c r="AH31" i="12" s="1"/>
  <c r="AM63" i="12"/>
  <c r="AC31" i="12" s="1"/>
  <c r="AG31" i="12" s="1"/>
  <c r="AC45" i="12"/>
  <c r="H13" i="12" s="1"/>
  <c r="AW45" i="12"/>
  <c r="AM45" i="12"/>
  <c r="AL45" i="12" s="1"/>
  <c r="AV45" i="12" s="1"/>
  <c r="BF45" i="12" s="1"/>
  <c r="BL45" i="12" s="1"/>
  <c r="BG45" i="12"/>
  <c r="AC54" i="12"/>
  <c r="H22" i="12" s="1"/>
  <c r="AW54" i="12"/>
  <c r="BG54" i="12"/>
  <c r="AM54" i="12"/>
  <c r="AL54" i="12" s="1"/>
  <c r="AV54" i="12" s="1"/>
  <c r="F11" i="12"/>
  <c r="F19" i="12"/>
  <c r="F12" i="12"/>
  <c r="F20" i="12"/>
  <c r="F31" i="12"/>
  <c r="F13" i="12"/>
  <c r="F22" i="12"/>
  <c r="F5" i="12"/>
  <c r="F14" i="12"/>
  <c r="F24" i="12"/>
  <c r="F6" i="12"/>
  <c r="F15" i="12"/>
  <c r="F25" i="12"/>
  <c r="F7" i="12"/>
  <c r="F16" i="12"/>
  <c r="F27" i="12"/>
  <c r="F8" i="12"/>
  <c r="F17" i="12"/>
  <c r="F28" i="12"/>
  <c r="F10" i="12"/>
  <c r="F18" i="12"/>
  <c r="F4" i="12"/>
  <c r="AN43" i="21"/>
  <c r="K11" i="21" s="1"/>
  <c r="AL64" i="21"/>
  <c r="AV64" i="21" s="1"/>
  <c r="AN52" i="21"/>
  <c r="K20" i="21" s="1"/>
  <c r="AX56" i="21"/>
  <c r="AX44" i="21"/>
  <c r="AN57" i="21"/>
  <c r="AN47" i="21"/>
  <c r="K15" i="21" s="1"/>
  <c r="AX60" i="21"/>
  <c r="AN40" i="21"/>
  <c r="K8" i="21" s="1"/>
  <c r="AN51" i="21"/>
  <c r="K19" i="21" s="1"/>
  <c r="AN59" i="21"/>
  <c r="AC62" i="21"/>
  <c r="H30" i="21" s="1"/>
  <c r="BG62" i="21"/>
  <c r="AM62" i="21"/>
  <c r="AW62" i="21"/>
  <c r="AU62" i="21" s="1"/>
  <c r="AN48" i="21"/>
  <c r="K16" i="21" s="1"/>
  <c r="AX55" i="21"/>
  <c r="AN53" i="21"/>
  <c r="AN54" i="21"/>
  <c r="AN49" i="21"/>
  <c r="K17" i="21" s="1"/>
  <c r="AN56" i="21"/>
  <c r="K24" i="21" s="1"/>
  <c r="AX52" i="21"/>
  <c r="AX57" i="21"/>
  <c r="AN36" i="21"/>
  <c r="K4" i="21" s="1"/>
  <c r="AN37" i="21"/>
  <c r="K5" i="21" s="1"/>
  <c r="AX41" i="21"/>
  <c r="AX42" i="21"/>
  <c r="AX43" i="21"/>
  <c r="AX51" i="21"/>
  <c r="AX50" i="21"/>
  <c r="AX58" i="21"/>
  <c r="AX59" i="21"/>
  <c r="AN63" i="21"/>
  <c r="K31" i="21" s="1"/>
  <c r="S62" i="8"/>
  <c r="G30" i="8" s="1"/>
  <c r="S64" i="8"/>
  <c r="G32" i="8" s="1"/>
  <c r="P64" i="8"/>
  <c r="F32" i="8" s="1"/>
  <c r="P62" i="8"/>
  <c r="F30" i="8" s="1"/>
  <c r="V62" i="8"/>
  <c r="H30" i="8" s="1"/>
  <c r="Q64" i="21"/>
  <c r="E32" i="21" s="1"/>
  <c r="T64" i="21"/>
  <c r="U64" i="21" s="1"/>
  <c r="F32" i="21" s="1"/>
  <c r="X64" i="21"/>
  <c r="Y64" i="21" s="1"/>
  <c r="G32" i="21" s="1"/>
  <c r="AB64" i="21"/>
  <c r="Q62" i="21"/>
  <c r="E30" i="21" s="1"/>
  <c r="BH41" i="21"/>
  <c r="L9" i="21" s="1"/>
  <c r="Z9" i="21" s="1"/>
  <c r="AB62" i="12"/>
  <c r="V64" i="12"/>
  <c r="X64" i="12" s="1"/>
  <c r="Y64" i="12" s="1"/>
  <c r="G32" i="12" s="1"/>
  <c r="AK64" i="21"/>
  <c r="AS64" i="21" s="1"/>
  <c r="R64" i="12"/>
  <c r="T64" i="12" s="1"/>
  <c r="U64" i="12" s="1"/>
  <c r="F32" i="12" s="1"/>
  <c r="T62" i="12"/>
  <c r="U62" i="12" s="1"/>
  <c r="F30" i="12" s="1"/>
  <c r="AB64" i="12"/>
  <c r="E26" i="20"/>
  <c r="D32" i="18"/>
  <c r="E32" i="18" s="1"/>
  <c r="D32" i="20"/>
  <c r="E32" i="20" s="1"/>
  <c r="I31" i="18"/>
  <c r="E13" i="18"/>
  <c r="I22" i="18"/>
  <c r="E25" i="18"/>
  <c r="I11" i="18"/>
  <c r="E20" i="18"/>
  <c r="I15" i="18"/>
  <c r="E7" i="18"/>
  <c r="H5" i="18"/>
  <c r="I5" i="18" s="1"/>
  <c r="D17" i="18"/>
  <c r="E17" i="18" s="1"/>
  <c r="E18" i="18"/>
  <c r="H21" i="18"/>
  <c r="I21" i="18" s="1"/>
  <c r="I26" i="18"/>
  <c r="D15" i="18"/>
  <c r="E15" i="18" s="1"/>
  <c r="I8" i="18"/>
  <c r="E6" i="18"/>
  <c r="E26" i="18"/>
  <c r="E12" i="18"/>
  <c r="E8" i="18"/>
  <c r="I14" i="18"/>
  <c r="I28" i="18"/>
  <c r="I29" i="18"/>
  <c r="I13" i="18"/>
  <c r="E23" i="18"/>
  <c r="I25" i="18"/>
  <c r="I27" i="18"/>
  <c r="I10" i="18"/>
  <c r="E14" i="18"/>
  <c r="E21" i="18"/>
  <c r="H7" i="18"/>
  <c r="I7" i="18" s="1"/>
  <c r="D9" i="18"/>
  <c r="E9" i="18" s="1"/>
  <c r="H18" i="18"/>
  <c r="I18" i="18" s="1"/>
  <c r="H24" i="18"/>
  <c r="I24" i="18" s="1"/>
  <c r="D29" i="18"/>
  <c r="E29" i="18" s="1"/>
  <c r="D5" i="18"/>
  <c r="E5" i="18" s="1"/>
  <c r="D11" i="18"/>
  <c r="E11" i="18" s="1"/>
  <c r="D16" i="18"/>
  <c r="E16" i="18" s="1"/>
  <c r="H6" i="18"/>
  <c r="I6" i="18" s="1"/>
  <c r="H17" i="18"/>
  <c r="I17" i="18" s="1"/>
  <c r="H20" i="18"/>
  <c r="I20" i="18" s="1"/>
  <c r="H12" i="18"/>
  <c r="I12" i="18" s="1"/>
  <c r="D28" i="18"/>
  <c r="E28" i="18" s="1"/>
  <c r="H9" i="18"/>
  <c r="I9" i="18" s="1"/>
  <c r="D5" i="11"/>
  <c r="C5" i="11"/>
  <c r="B5" i="11"/>
  <c r="AM30" i="8" l="1"/>
  <c r="AR30" i="8"/>
  <c r="AQ30" i="8"/>
  <c r="AN30" i="8"/>
  <c r="AL24" i="8"/>
  <c r="AQ24" i="8"/>
  <c r="AR24" i="8"/>
  <c r="AM24" i="8"/>
  <c r="AN24" i="8"/>
  <c r="AO17" i="8"/>
  <c r="AM17" i="8"/>
  <c r="AN17" i="8"/>
  <c r="AQ17" i="8"/>
  <c r="AR17" i="8"/>
  <c r="AO16" i="8"/>
  <c r="AR16" i="8"/>
  <c r="AM16" i="8"/>
  <c r="AN16" i="8"/>
  <c r="AQ16" i="8"/>
  <c r="AM8" i="8"/>
  <c r="AN8" i="8"/>
  <c r="AQ8" i="8"/>
  <c r="AR8" i="8"/>
  <c r="AP20" i="8"/>
  <c r="AM20" i="8"/>
  <c r="AN20" i="8"/>
  <c r="AQ20" i="8"/>
  <c r="AR20" i="8"/>
  <c r="AP7" i="8"/>
  <c r="AM7" i="8"/>
  <c r="AQ7" i="8"/>
  <c r="AR7" i="8"/>
  <c r="AN7" i="8"/>
  <c r="AP12" i="8"/>
  <c r="AN12" i="8"/>
  <c r="AQ12" i="8"/>
  <c r="AR12" i="8"/>
  <c r="AM12" i="8"/>
  <c r="AQ18" i="8"/>
  <c r="AM18" i="8"/>
  <c r="AR18" i="8"/>
  <c r="AN18" i="8"/>
  <c r="AO6" i="8"/>
  <c r="AM6" i="8"/>
  <c r="AQ6" i="8"/>
  <c r="AR6" i="8"/>
  <c r="AN6" i="8"/>
  <c r="AO18" i="8"/>
  <c r="AP31" i="8"/>
  <c r="AM31" i="8"/>
  <c r="AN31" i="8"/>
  <c r="AQ31" i="8"/>
  <c r="AR31" i="8"/>
  <c r="AB31" i="8"/>
  <c r="R31" i="8"/>
  <c r="AL18" i="8"/>
  <c r="AR28" i="8"/>
  <c r="AM28" i="8"/>
  <c r="AN28" i="8"/>
  <c r="AQ28" i="8"/>
  <c r="AP22" i="8"/>
  <c r="AR22" i="8"/>
  <c r="AM22" i="8"/>
  <c r="AN22" i="8"/>
  <c r="AQ22" i="8"/>
  <c r="AP19" i="8"/>
  <c r="AQ19" i="8"/>
  <c r="AR19" i="8"/>
  <c r="AM19" i="8"/>
  <c r="AN19" i="8"/>
  <c r="AK18" i="8"/>
  <c r="AP28" i="8"/>
  <c r="AO13" i="8"/>
  <c r="AQ13" i="8"/>
  <c r="AR13" i="8"/>
  <c r="AM13" i="8"/>
  <c r="AN13" i="8"/>
  <c r="AQ11" i="8"/>
  <c r="AR11" i="8"/>
  <c r="AN11" i="8"/>
  <c r="AM11" i="8"/>
  <c r="BT60" i="21"/>
  <c r="M28" i="21" s="1"/>
  <c r="BU60" i="21"/>
  <c r="BT54" i="21"/>
  <c r="M22" i="21" s="1"/>
  <c r="BU54" i="21"/>
  <c r="O14" i="21"/>
  <c r="Y14" i="21"/>
  <c r="CA39" i="21"/>
  <c r="BZ39" i="21"/>
  <c r="BT36" i="21"/>
  <c r="M4" i="21" s="1"/>
  <c r="BU36" i="21"/>
  <c r="O4" i="21"/>
  <c r="Y4" i="21"/>
  <c r="O16" i="21"/>
  <c r="Y16" i="21"/>
  <c r="BN60" i="21"/>
  <c r="BT41" i="21"/>
  <c r="M9" i="21" s="1"/>
  <c r="BU41" i="21"/>
  <c r="CA62" i="21"/>
  <c r="BZ62" i="21"/>
  <c r="BZ44" i="21"/>
  <c r="CA44" i="21"/>
  <c r="AB22" i="21"/>
  <c r="R22" i="21"/>
  <c r="BZ55" i="21"/>
  <c r="CA55" i="21"/>
  <c r="BZ54" i="21"/>
  <c r="CA54" i="21"/>
  <c r="AC30" i="21"/>
  <c r="O13" i="21"/>
  <c r="Y13" i="21"/>
  <c r="BT44" i="21"/>
  <c r="M12" i="21" s="1"/>
  <c r="BU44" i="21"/>
  <c r="AB13" i="21"/>
  <c r="R13" i="21"/>
  <c r="O15" i="21"/>
  <c r="Y15" i="21"/>
  <c r="BT55" i="21"/>
  <c r="M23" i="21" s="1"/>
  <c r="BU55" i="21"/>
  <c r="BT63" i="21"/>
  <c r="M31" i="21" s="1"/>
  <c r="BU63" i="21"/>
  <c r="BT45" i="21"/>
  <c r="M13" i="21" s="1"/>
  <c r="BU45" i="21"/>
  <c r="BZ58" i="21"/>
  <c r="CA58" i="21"/>
  <c r="BT59" i="21"/>
  <c r="M27" i="21" s="1"/>
  <c r="BU59" i="21"/>
  <c r="BT53" i="21"/>
  <c r="M21" i="21" s="1"/>
  <c r="BU53" i="21"/>
  <c r="BZ52" i="21"/>
  <c r="CA52" i="21"/>
  <c r="R24" i="21"/>
  <c r="AB24" i="21"/>
  <c r="O20" i="21"/>
  <c r="Y20" i="21"/>
  <c r="R9" i="21"/>
  <c r="AB9" i="21"/>
  <c r="CA63" i="21"/>
  <c r="BZ63" i="21"/>
  <c r="BY64" i="21"/>
  <c r="CE64" i="21"/>
  <c r="BT43" i="21"/>
  <c r="M11" i="21" s="1"/>
  <c r="BU43" i="21"/>
  <c r="BT58" i="21"/>
  <c r="M26" i="21" s="1"/>
  <c r="BU58" i="21"/>
  <c r="BT48" i="21"/>
  <c r="M16" i="21" s="1"/>
  <c r="BU48" i="21"/>
  <c r="AB18" i="21"/>
  <c r="R18" i="21"/>
  <c r="BT40" i="21"/>
  <c r="M8" i="21" s="1"/>
  <c r="BU40" i="21"/>
  <c r="R17" i="21"/>
  <c r="AB17" i="21"/>
  <c r="O12" i="21"/>
  <c r="Y12" i="21"/>
  <c r="BZ60" i="21"/>
  <c r="CA60" i="21"/>
  <c r="O24" i="21"/>
  <c r="Y24" i="21"/>
  <c r="BE62" i="21"/>
  <c r="BI62" i="21" s="1"/>
  <c r="AD30" i="21"/>
  <c r="AH30" i="21" s="1"/>
  <c r="BH53" i="21"/>
  <c r="L21" i="21" s="1"/>
  <c r="Z21" i="21" s="1"/>
  <c r="O26" i="21"/>
  <c r="Y26" i="21"/>
  <c r="BT39" i="21"/>
  <c r="M7" i="21" s="1"/>
  <c r="BU39" i="21"/>
  <c r="O23" i="21"/>
  <c r="Y23" i="21"/>
  <c r="AB10" i="21"/>
  <c r="R10" i="21"/>
  <c r="AB26" i="21"/>
  <c r="R26" i="21"/>
  <c r="BT50" i="21"/>
  <c r="M18" i="21" s="1"/>
  <c r="BU50" i="21"/>
  <c r="AB12" i="21"/>
  <c r="R12" i="21"/>
  <c r="AB4" i="21"/>
  <c r="R4" i="21"/>
  <c r="AB19" i="21"/>
  <c r="R19" i="21"/>
  <c r="BT57" i="21"/>
  <c r="M25" i="21" s="1"/>
  <c r="BU57" i="21"/>
  <c r="R30" i="21"/>
  <c r="AB30" i="21"/>
  <c r="O19" i="21"/>
  <c r="Y19" i="21"/>
  <c r="BT51" i="21"/>
  <c r="M19" i="21" s="1"/>
  <c r="BU51" i="21"/>
  <c r="R15" i="21"/>
  <c r="AB15" i="21"/>
  <c r="BZ46" i="21"/>
  <c r="CA46" i="21"/>
  <c r="O17" i="21"/>
  <c r="Y17" i="21"/>
  <c r="O6" i="21"/>
  <c r="Y6" i="21"/>
  <c r="BT47" i="21"/>
  <c r="M15" i="21" s="1"/>
  <c r="BU47" i="21"/>
  <c r="BT42" i="21"/>
  <c r="M10" i="21" s="1"/>
  <c r="BU42" i="21"/>
  <c r="BT38" i="21"/>
  <c r="M6" i="21" s="1"/>
  <c r="BU38" i="21"/>
  <c r="BQ62" i="21"/>
  <c r="AE30" i="21"/>
  <c r="AI30" i="21" s="1"/>
  <c r="BZ42" i="21"/>
  <c r="CA42" i="21"/>
  <c r="AA17" i="21"/>
  <c r="Q17" i="21"/>
  <c r="O28" i="21"/>
  <c r="Y28" i="21"/>
  <c r="BT56" i="21"/>
  <c r="M24" i="21" s="1"/>
  <c r="BU56" i="21"/>
  <c r="BZ51" i="21"/>
  <c r="CA51" i="21"/>
  <c r="R16" i="21"/>
  <c r="AB16" i="21"/>
  <c r="AB20" i="21"/>
  <c r="R20" i="21"/>
  <c r="BZ38" i="21"/>
  <c r="CA38" i="21"/>
  <c r="BT52" i="21"/>
  <c r="M20" i="21" s="1"/>
  <c r="BU52" i="21"/>
  <c r="O5" i="21"/>
  <c r="Y5" i="21"/>
  <c r="O8" i="21"/>
  <c r="Y8" i="21"/>
  <c r="O11" i="21"/>
  <c r="Y11" i="21"/>
  <c r="BT46" i="21"/>
  <c r="M14" i="21" s="1"/>
  <c r="BU46" i="21"/>
  <c r="AB27" i="21"/>
  <c r="R27" i="21"/>
  <c r="BZ43" i="21"/>
  <c r="CA43" i="21"/>
  <c r="AB28" i="21"/>
  <c r="R28" i="21"/>
  <c r="BT37" i="21"/>
  <c r="M5" i="21" s="1"/>
  <c r="BU37" i="21"/>
  <c r="AB21" i="21"/>
  <c r="R21" i="21"/>
  <c r="R25" i="21"/>
  <c r="AB25" i="21"/>
  <c r="BZ47" i="21"/>
  <c r="CA47" i="21"/>
  <c r="R23" i="21"/>
  <c r="AB23" i="21"/>
  <c r="AB14" i="21"/>
  <c r="R14" i="21"/>
  <c r="O7" i="21"/>
  <c r="Y7" i="21"/>
  <c r="AF25" i="12"/>
  <c r="AJ25" i="12" s="1"/>
  <c r="AF10" i="12"/>
  <c r="AJ10" i="12" s="1"/>
  <c r="BY64" i="12"/>
  <c r="CE64" i="12"/>
  <c r="AF32" i="12" s="1"/>
  <c r="AJ32" i="12" s="1"/>
  <c r="AF19" i="12"/>
  <c r="AJ19" i="12" s="1"/>
  <c r="AF4" i="12"/>
  <c r="AJ4" i="12" s="1"/>
  <c r="BQ36" i="12"/>
  <c r="AE4" i="12"/>
  <c r="AI4" i="12" s="1"/>
  <c r="AF24" i="12"/>
  <c r="AJ24" i="12" s="1"/>
  <c r="AF22" i="12"/>
  <c r="AJ22" i="12" s="1"/>
  <c r="AF6" i="12"/>
  <c r="AJ6" i="12" s="1"/>
  <c r="AF27" i="12"/>
  <c r="AJ27" i="12" s="1"/>
  <c r="AF11" i="12"/>
  <c r="AJ11" i="12" s="1"/>
  <c r="BW36" i="12"/>
  <c r="CD36" i="12"/>
  <c r="CC36" i="12" s="1"/>
  <c r="CF36" i="12" s="1"/>
  <c r="N4" i="12" s="1"/>
  <c r="AF14" i="12"/>
  <c r="AJ14" i="12" s="1"/>
  <c r="AF13" i="12"/>
  <c r="AJ13" i="12" s="1"/>
  <c r="AF20" i="12"/>
  <c r="AJ20" i="12" s="1"/>
  <c r="AF16" i="12"/>
  <c r="AJ16" i="12" s="1"/>
  <c r="AF8" i="12"/>
  <c r="AJ8" i="12" s="1"/>
  <c r="AF5" i="12"/>
  <c r="AJ5" i="12" s="1"/>
  <c r="AF12" i="12"/>
  <c r="AJ12" i="12" s="1"/>
  <c r="AF18" i="12"/>
  <c r="AJ18" i="12" s="1"/>
  <c r="AF15" i="12"/>
  <c r="AJ15" i="12" s="1"/>
  <c r="AF7" i="12"/>
  <c r="AJ7" i="12" s="1"/>
  <c r="CE62" i="12"/>
  <c r="AF30" i="12" s="1"/>
  <c r="AJ30" i="12" s="1"/>
  <c r="BY62" i="12"/>
  <c r="O31" i="21"/>
  <c r="Y31" i="21"/>
  <c r="AL6" i="8"/>
  <c r="AO31" i="8"/>
  <c r="AX62" i="8"/>
  <c r="N30" i="8" s="1"/>
  <c r="AK31" i="8"/>
  <c r="AL31" i="8"/>
  <c r="AU62" i="8"/>
  <c r="AO12" i="8"/>
  <c r="AK6" i="8"/>
  <c r="AP6" i="8"/>
  <c r="AK12" i="8"/>
  <c r="AO7" i="8"/>
  <c r="AL19" i="8"/>
  <c r="AP13" i="8"/>
  <c r="AO19" i="8"/>
  <c r="AL7" i="8"/>
  <c r="AP16" i="8"/>
  <c r="AO22" i="8"/>
  <c r="V64" i="8"/>
  <c r="H32" i="8" s="1"/>
  <c r="AK16" i="8"/>
  <c r="AK64" i="8"/>
  <c r="AE64" i="8"/>
  <c r="Y64" i="8"/>
  <c r="AQ64" i="8"/>
  <c r="AT64" i="8"/>
  <c r="AU64" i="8" s="1"/>
  <c r="AN64" i="8"/>
  <c r="AW64" i="8"/>
  <c r="AX64" i="8" s="1"/>
  <c r="N32" i="8" s="1"/>
  <c r="AL22" i="8"/>
  <c r="AK19" i="8"/>
  <c r="BN58" i="21"/>
  <c r="BO58" i="21"/>
  <c r="K21" i="21"/>
  <c r="K25" i="21"/>
  <c r="BN42" i="21"/>
  <c r="BO42" i="21"/>
  <c r="BN38" i="21"/>
  <c r="BO38" i="21"/>
  <c r="K9" i="21"/>
  <c r="BH55" i="21"/>
  <c r="L23" i="21" s="1"/>
  <c r="Z23" i="21" s="1"/>
  <c r="BI55" i="21"/>
  <c r="BN52" i="21"/>
  <c r="BO52" i="21"/>
  <c r="BN63" i="21"/>
  <c r="BO63" i="21"/>
  <c r="BN46" i="21"/>
  <c r="BO46" i="21"/>
  <c r="K18" i="21"/>
  <c r="BN51" i="21"/>
  <c r="BO51" i="21"/>
  <c r="BN39" i="21"/>
  <c r="BO39" i="21"/>
  <c r="K27" i="21"/>
  <c r="BN55" i="21"/>
  <c r="BO55" i="21"/>
  <c r="K22" i="21"/>
  <c r="BC42" i="21"/>
  <c r="K10" i="21"/>
  <c r="BS64" i="21"/>
  <c r="BM64" i="21"/>
  <c r="BN43" i="21"/>
  <c r="BO43" i="21"/>
  <c r="BN54" i="21"/>
  <c r="BO54" i="21"/>
  <c r="BN62" i="21"/>
  <c r="BO62" i="21"/>
  <c r="BK36" i="12"/>
  <c r="BS62" i="12"/>
  <c r="AE30" i="12" s="1"/>
  <c r="AI30" i="12" s="1"/>
  <c r="BM62" i="12"/>
  <c r="BS64" i="12"/>
  <c r="AE32" i="12" s="1"/>
  <c r="AI32" i="12" s="1"/>
  <c r="BM64" i="12"/>
  <c r="BK44" i="12"/>
  <c r="BR44" i="12"/>
  <c r="BK45" i="12"/>
  <c r="BR45" i="12"/>
  <c r="AU36" i="12"/>
  <c r="BC36" i="12" s="1"/>
  <c r="AN52" i="12"/>
  <c r="AL52" i="12"/>
  <c r="AV52" i="12" s="1"/>
  <c r="BF64" i="21"/>
  <c r="BL64" i="21" s="1"/>
  <c r="BR64" i="21" s="1"/>
  <c r="BX64" i="21" s="1"/>
  <c r="CD64" i="21" s="1"/>
  <c r="AN51" i="12"/>
  <c r="AL51" i="12"/>
  <c r="AV51" i="12" s="1"/>
  <c r="AN39" i="12"/>
  <c r="AL39" i="12"/>
  <c r="AV39" i="12" s="1"/>
  <c r="AN56" i="12"/>
  <c r="AL56" i="12"/>
  <c r="AV56" i="12" s="1"/>
  <c r="BE45" i="12"/>
  <c r="BI45" i="12" s="1"/>
  <c r="AN49" i="12"/>
  <c r="AL49" i="12"/>
  <c r="AV49" i="12" s="1"/>
  <c r="AU45" i="12"/>
  <c r="BC45" i="12" s="1"/>
  <c r="AC24" i="12"/>
  <c r="AG24" i="12" s="1"/>
  <c r="AN43" i="12"/>
  <c r="AL43" i="12"/>
  <c r="AV43" i="12" s="1"/>
  <c r="AU38" i="12"/>
  <c r="BC38" i="12" s="1"/>
  <c r="BF38" i="12"/>
  <c r="AC17" i="12"/>
  <c r="AG17" i="12" s="1"/>
  <c r="BE44" i="12"/>
  <c r="BI44" i="12" s="1"/>
  <c r="BE36" i="12"/>
  <c r="BI36" i="12" s="1"/>
  <c r="AN60" i="12"/>
  <c r="AL60" i="12"/>
  <c r="AV60" i="12" s="1"/>
  <c r="BF60" i="12" s="1"/>
  <c r="AN47" i="12"/>
  <c r="AL47" i="12"/>
  <c r="AV47" i="12" s="1"/>
  <c r="AN37" i="12"/>
  <c r="AL37" i="12"/>
  <c r="AV37" i="12" s="1"/>
  <c r="AN59" i="12"/>
  <c r="AL59" i="12"/>
  <c r="AV59" i="12" s="1"/>
  <c r="AN42" i="12"/>
  <c r="AL42" i="12"/>
  <c r="AV42" i="12" s="1"/>
  <c r="AN48" i="12"/>
  <c r="AL48" i="12"/>
  <c r="AV48" i="12" s="1"/>
  <c r="BF48" i="12" s="1"/>
  <c r="AC27" i="12"/>
  <c r="AG27" i="12" s="1"/>
  <c r="AU54" i="12"/>
  <c r="BC54" i="12" s="1"/>
  <c r="BF54" i="12"/>
  <c r="AN63" i="12"/>
  <c r="AL63" i="12"/>
  <c r="AV63" i="12" s="1"/>
  <c r="AN40" i="12"/>
  <c r="AL40" i="12"/>
  <c r="AV40" i="12" s="1"/>
  <c r="BF40" i="12" s="1"/>
  <c r="AN46" i="12"/>
  <c r="AL46" i="12"/>
  <c r="AV46" i="12" s="1"/>
  <c r="BF46" i="12" s="1"/>
  <c r="AC14" i="12"/>
  <c r="AG14" i="12" s="1"/>
  <c r="AU44" i="12"/>
  <c r="BC44" i="12" s="1"/>
  <c r="AU50" i="12"/>
  <c r="BC50" i="12" s="1"/>
  <c r="BF50" i="12"/>
  <c r="AN57" i="12"/>
  <c r="AL57" i="12"/>
  <c r="AV57" i="12" s="1"/>
  <c r="AC10" i="12"/>
  <c r="AG10" i="12" s="1"/>
  <c r="AX47" i="21"/>
  <c r="BC47" i="21"/>
  <c r="AX37" i="21"/>
  <c r="BC37" i="21"/>
  <c r="BH37" i="21" s="1"/>
  <c r="L5" i="21" s="1"/>
  <c r="AX63" i="21"/>
  <c r="BC63" i="21"/>
  <c r="AX36" i="21"/>
  <c r="BC36" i="21"/>
  <c r="AN36" i="12"/>
  <c r="K4" i="12" s="1"/>
  <c r="AC6" i="12"/>
  <c r="AG6" i="12" s="1"/>
  <c r="AN38" i="12"/>
  <c r="AC18" i="12"/>
  <c r="AG18" i="12" s="1"/>
  <c r="AN50" i="12"/>
  <c r="AC13" i="12"/>
  <c r="AG13" i="12" s="1"/>
  <c r="AN45" i="12"/>
  <c r="AC11" i="12"/>
  <c r="AG11" i="12" s="1"/>
  <c r="AC22" i="12"/>
  <c r="AG22" i="12" s="1"/>
  <c r="AN54" i="12"/>
  <c r="AC12" i="12"/>
  <c r="AG12" i="12" s="1"/>
  <c r="AN44" i="12"/>
  <c r="AC64" i="12"/>
  <c r="H32" i="12" s="1"/>
  <c r="AW64" i="12"/>
  <c r="BG64" i="12"/>
  <c r="AD32" i="12" s="1"/>
  <c r="AH32" i="12" s="1"/>
  <c r="AM64" i="12"/>
  <c r="AC32" i="12" s="1"/>
  <c r="AC62" i="12"/>
  <c r="H30" i="12" s="1"/>
  <c r="AW62" i="12"/>
  <c r="BG62" i="12"/>
  <c r="AD30" i="12" s="1"/>
  <c r="AH30" i="12" s="1"/>
  <c r="AM62" i="12"/>
  <c r="AC30" i="12" s="1"/>
  <c r="AG30" i="12" s="1"/>
  <c r="AC25" i="12"/>
  <c r="AG25" i="12" s="1"/>
  <c r="AC4" i="12"/>
  <c r="AC7" i="12"/>
  <c r="AG7" i="12" s="1"/>
  <c r="AC16" i="12"/>
  <c r="AG16" i="12" s="1"/>
  <c r="AC20" i="12"/>
  <c r="AG20" i="12" s="1"/>
  <c r="AC28" i="12"/>
  <c r="AG28" i="12" s="1"/>
  <c r="AC64" i="21"/>
  <c r="H32" i="21" s="1"/>
  <c r="BG64" i="21"/>
  <c r="AD32" i="21" s="1"/>
  <c r="AH32" i="21" s="1"/>
  <c r="AM64" i="21"/>
  <c r="AW64" i="21"/>
  <c r="AU64" i="21" s="1"/>
  <c r="BH58" i="21"/>
  <c r="L26" i="21" s="1"/>
  <c r="Z26" i="21" s="1"/>
  <c r="AN62" i="21"/>
  <c r="K30" i="21" s="1"/>
  <c r="P9" i="21"/>
  <c r="P23" i="21"/>
  <c r="BH60" i="21"/>
  <c r="L28" i="21" s="1"/>
  <c r="Z28" i="21" s="1"/>
  <c r="P21" i="21"/>
  <c r="G73" i="16"/>
  <c r="G61" i="16"/>
  <c r="G47" i="16"/>
  <c r="G33" i="16"/>
  <c r="G20" i="16"/>
  <c r="G7" i="16"/>
  <c r="R30" i="8" l="1"/>
  <c r="AB30" i="8"/>
  <c r="AB32" i="8"/>
  <c r="R32" i="8"/>
  <c r="AR32" i="8"/>
  <c r="AM32" i="8"/>
  <c r="AN32" i="8"/>
  <c r="AQ32" i="8"/>
  <c r="BK64" i="21"/>
  <c r="AA6" i="21"/>
  <c r="Q6" i="21"/>
  <c r="AA9" i="21"/>
  <c r="Q9" i="21"/>
  <c r="AA26" i="21"/>
  <c r="Q26" i="21"/>
  <c r="O10" i="21"/>
  <c r="Y10" i="21"/>
  <c r="O25" i="21"/>
  <c r="Y25" i="21"/>
  <c r="AA10" i="21"/>
  <c r="Q10" i="21"/>
  <c r="AA31" i="21"/>
  <c r="Q31" i="21"/>
  <c r="P5" i="21"/>
  <c r="Z5" i="21"/>
  <c r="O21" i="21"/>
  <c r="Y21" i="21"/>
  <c r="AA8" i="21"/>
  <c r="Q8" i="21"/>
  <c r="AA11" i="21"/>
  <c r="Q11" i="21"/>
  <c r="AA27" i="21"/>
  <c r="Q27" i="21"/>
  <c r="AA23" i="21"/>
  <c r="Q23" i="21"/>
  <c r="O22" i="21"/>
  <c r="Y22" i="21"/>
  <c r="O18" i="21"/>
  <c r="Y18" i="21"/>
  <c r="AA5" i="21"/>
  <c r="Q5" i="21"/>
  <c r="AA14" i="21"/>
  <c r="Q14" i="21"/>
  <c r="AA20" i="21"/>
  <c r="Q20" i="21"/>
  <c r="AA15" i="21"/>
  <c r="Q15" i="21"/>
  <c r="AA25" i="21"/>
  <c r="Q25" i="21"/>
  <c r="AA18" i="21"/>
  <c r="Q18" i="21"/>
  <c r="AA7" i="21"/>
  <c r="Q7" i="21"/>
  <c r="CC64" i="21"/>
  <c r="CF64" i="21" s="1"/>
  <c r="N32" i="21" s="1"/>
  <c r="AF32" i="21"/>
  <c r="AJ32" i="21" s="1"/>
  <c r="AC32" i="21"/>
  <c r="AG32" i="21" s="1"/>
  <c r="AG30" i="21"/>
  <c r="O9" i="21"/>
  <c r="Y9" i="21"/>
  <c r="BW64" i="21"/>
  <c r="AA22" i="21"/>
  <c r="Q22" i="21"/>
  <c r="BQ64" i="21"/>
  <c r="AE32" i="21"/>
  <c r="AI32" i="21" s="1"/>
  <c r="AA21" i="21"/>
  <c r="Q21" i="21"/>
  <c r="AA24" i="21"/>
  <c r="Q24" i="21"/>
  <c r="BT62" i="21"/>
  <c r="M30" i="21" s="1"/>
  <c r="BU62" i="21"/>
  <c r="AA19" i="21"/>
  <c r="Q19" i="21"/>
  <c r="AA12" i="21"/>
  <c r="Q12" i="21"/>
  <c r="O27" i="21"/>
  <c r="Y27" i="21"/>
  <c r="AA16" i="21"/>
  <c r="Q16" i="21"/>
  <c r="AA13" i="21"/>
  <c r="Q13" i="21"/>
  <c r="AA4" i="21"/>
  <c r="Q4" i="21"/>
  <c r="AA28" i="21"/>
  <c r="Q28" i="21"/>
  <c r="AB4" i="12"/>
  <c r="R4" i="12"/>
  <c r="BQ45" i="12"/>
  <c r="BX45" i="12"/>
  <c r="CA36" i="12"/>
  <c r="BZ36" i="12"/>
  <c r="BT36" i="12"/>
  <c r="M4" i="12" s="1"/>
  <c r="BU36" i="12"/>
  <c r="BQ44" i="12"/>
  <c r="BX44" i="12"/>
  <c r="Y4" i="12"/>
  <c r="O4" i="12"/>
  <c r="O30" i="21"/>
  <c r="Y30" i="21"/>
  <c r="BN64" i="21"/>
  <c r="BO64" i="21"/>
  <c r="BO36" i="12"/>
  <c r="BN36" i="12"/>
  <c r="BE46" i="12"/>
  <c r="BI46" i="12" s="1"/>
  <c r="BL46" i="12"/>
  <c r="BE40" i="12"/>
  <c r="BI40" i="12" s="1"/>
  <c r="BL40" i="12"/>
  <c r="BE48" i="12"/>
  <c r="BI48" i="12" s="1"/>
  <c r="BL48" i="12"/>
  <c r="BO45" i="12"/>
  <c r="BN45" i="12"/>
  <c r="BE38" i="12"/>
  <c r="BI38" i="12" s="1"/>
  <c r="BL38" i="12"/>
  <c r="BE60" i="12"/>
  <c r="BI60" i="12" s="1"/>
  <c r="BL60" i="12"/>
  <c r="BO44" i="12"/>
  <c r="BN44" i="12"/>
  <c r="BE50" i="12"/>
  <c r="BI50" i="12" s="1"/>
  <c r="BL50" i="12"/>
  <c r="BE54" i="12"/>
  <c r="BI54" i="12" s="1"/>
  <c r="BL54" i="12"/>
  <c r="AU63" i="12"/>
  <c r="BC63" i="12" s="1"/>
  <c r="BF63" i="12"/>
  <c r="AU37" i="12"/>
  <c r="BC37" i="12" s="1"/>
  <c r="BF37" i="12"/>
  <c r="AU47" i="12"/>
  <c r="BC47" i="12" s="1"/>
  <c r="BF47" i="12"/>
  <c r="AU60" i="12"/>
  <c r="BC60" i="12" s="1"/>
  <c r="BE64" i="21"/>
  <c r="BI64" i="21" s="1"/>
  <c r="AU42" i="12"/>
  <c r="BC42" i="12" s="1"/>
  <c r="BF42" i="12"/>
  <c r="AU43" i="12"/>
  <c r="BC43" i="12" s="1"/>
  <c r="BF43" i="12"/>
  <c r="AU56" i="12"/>
  <c r="BC56" i="12" s="1"/>
  <c r="BF56" i="12"/>
  <c r="AU48" i="12"/>
  <c r="BC48" i="12" s="1"/>
  <c r="AU49" i="12"/>
  <c r="BC49" i="12" s="1"/>
  <c r="BF49" i="12"/>
  <c r="AU39" i="12"/>
  <c r="BC39" i="12" s="1"/>
  <c r="BF39" i="12"/>
  <c r="AU51" i="12"/>
  <c r="BC51" i="12" s="1"/>
  <c r="BF51" i="12"/>
  <c r="AU57" i="12"/>
  <c r="BC57" i="12" s="1"/>
  <c r="BF57" i="12"/>
  <c r="AU46" i="12"/>
  <c r="BC46" i="12" s="1"/>
  <c r="AU59" i="12"/>
  <c r="BC59" i="12" s="1"/>
  <c r="BF59" i="12"/>
  <c r="AU52" i="12"/>
  <c r="BC52" i="12" s="1"/>
  <c r="BF52" i="12"/>
  <c r="AU40" i="12"/>
  <c r="BC40" i="12" s="1"/>
  <c r="AX49" i="21"/>
  <c r="BC49" i="21"/>
  <c r="BH49" i="21" s="1"/>
  <c r="L17" i="21" s="1"/>
  <c r="Z17" i="21" s="1"/>
  <c r="AX62" i="21"/>
  <c r="BC62" i="21"/>
  <c r="AN64" i="21"/>
  <c r="K32" i="21" s="1"/>
  <c r="P26" i="21"/>
  <c r="BH63" i="21"/>
  <c r="L31" i="21" s="1"/>
  <c r="Z31" i="21" s="1"/>
  <c r="BH39" i="21"/>
  <c r="L7" i="21" s="1"/>
  <c r="Z7" i="21" s="1"/>
  <c r="BH50" i="21"/>
  <c r="L18" i="21" s="1"/>
  <c r="Z18" i="21" s="1"/>
  <c r="BH48" i="21"/>
  <c r="L16" i="21" s="1"/>
  <c r="Z16" i="21" s="1"/>
  <c r="BH43" i="21"/>
  <c r="L11" i="21" s="1"/>
  <c r="Z11" i="21" s="1"/>
  <c r="BH54" i="21"/>
  <c r="L22" i="21" s="1"/>
  <c r="Z22" i="21" s="1"/>
  <c r="BH46" i="21"/>
  <c r="L14" i="21" s="1"/>
  <c r="Z14" i="21" s="1"/>
  <c r="BH38" i="21"/>
  <c r="L6" i="21" s="1"/>
  <c r="Z6" i="21" s="1"/>
  <c r="P28" i="21"/>
  <c r="BH59" i="21"/>
  <c r="L27" i="21" s="1"/>
  <c r="Z27" i="21" s="1"/>
  <c r="BH51" i="21"/>
  <c r="L19" i="21" s="1"/>
  <c r="Z19" i="21" s="1"/>
  <c r="BH56" i="21"/>
  <c r="L24" i="21" s="1"/>
  <c r="Z24" i="21" s="1"/>
  <c r="BH47" i="21"/>
  <c r="L15" i="21" s="1"/>
  <c r="Z15" i="21" s="1"/>
  <c r="BH40" i="21"/>
  <c r="L8" i="21" s="1"/>
  <c r="Z8" i="21" s="1"/>
  <c r="BH42" i="21"/>
  <c r="L10" i="21" s="1"/>
  <c r="Z10" i="21" s="1"/>
  <c r="BH52" i="21"/>
  <c r="L20" i="21" s="1"/>
  <c r="Z20" i="21" s="1"/>
  <c r="BH44" i="21"/>
  <c r="L12" i="21" s="1"/>
  <c r="Z12" i="21" s="1"/>
  <c r="BH45" i="21"/>
  <c r="L13" i="21" s="1"/>
  <c r="Z13" i="21" s="1"/>
  <c r="BH57" i="21"/>
  <c r="L25" i="21" s="1"/>
  <c r="Z25" i="21" s="1"/>
  <c r="BH36" i="21"/>
  <c r="L4" i="21" s="1"/>
  <c r="BD38" i="12"/>
  <c r="BT64" i="21" l="1"/>
  <c r="M32" i="21" s="1"/>
  <c r="BU64" i="21"/>
  <c r="R32" i="21"/>
  <c r="AB32" i="21"/>
  <c r="Z4" i="21"/>
  <c r="P4" i="21"/>
  <c r="AA30" i="21"/>
  <c r="Q30" i="21"/>
  <c r="CA64" i="21"/>
  <c r="BZ64" i="21"/>
  <c r="Q4" i="12"/>
  <c r="AA4" i="12"/>
  <c r="BW45" i="12"/>
  <c r="CD45" i="12"/>
  <c r="CC45" i="12" s="1"/>
  <c r="CF45" i="12" s="1"/>
  <c r="N13" i="12" s="1"/>
  <c r="BT45" i="12"/>
  <c r="M13" i="12" s="1"/>
  <c r="BU45" i="12"/>
  <c r="BW44" i="12"/>
  <c r="CD44" i="12"/>
  <c r="CC44" i="12" s="1"/>
  <c r="CF44" i="12" s="1"/>
  <c r="N12" i="12" s="1"/>
  <c r="BT44" i="12"/>
  <c r="M12" i="12" s="1"/>
  <c r="BU44" i="12"/>
  <c r="O32" i="21"/>
  <c r="Y32" i="21"/>
  <c r="BR54" i="12"/>
  <c r="BK54" i="12"/>
  <c r="BR38" i="12"/>
  <c r="BK38" i="12"/>
  <c r="BE56" i="12"/>
  <c r="BI56" i="12" s="1"/>
  <c r="BL56" i="12"/>
  <c r="BE47" i="12"/>
  <c r="BI47" i="12" s="1"/>
  <c r="BL47" i="12"/>
  <c r="BR46" i="12"/>
  <c r="BK46" i="12"/>
  <c r="BE51" i="12"/>
  <c r="BI51" i="12" s="1"/>
  <c r="BL51" i="12"/>
  <c r="BR50" i="12"/>
  <c r="BK50" i="12"/>
  <c r="BE57" i="12"/>
  <c r="BI57" i="12" s="1"/>
  <c r="BL57" i="12"/>
  <c r="BE39" i="12"/>
  <c r="BI39" i="12" s="1"/>
  <c r="BL39" i="12"/>
  <c r="BE37" i="12"/>
  <c r="BI37" i="12" s="1"/>
  <c r="BL37" i="12"/>
  <c r="BE52" i="12"/>
  <c r="BI52" i="12" s="1"/>
  <c r="BL52" i="12"/>
  <c r="BE42" i="12"/>
  <c r="BI42" i="12" s="1"/>
  <c r="BL42" i="12"/>
  <c r="BR48" i="12"/>
  <c r="BK48" i="12"/>
  <c r="BE43" i="12"/>
  <c r="BI43" i="12" s="1"/>
  <c r="BL43" i="12"/>
  <c r="BE63" i="12"/>
  <c r="BI63" i="12" s="1"/>
  <c r="BL63" i="12"/>
  <c r="BE59" i="12"/>
  <c r="BI59" i="12" s="1"/>
  <c r="BL59" i="12"/>
  <c r="BE49" i="12"/>
  <c r="BI49" i="12" s="1"/>
  <c r="BL49" i="12"/>
  <c r="BK60" i="12"/>
  <c r="BR60" i="12"/>
  <c r="BR40" i="12"/>
  <c r="BK40" i="12"/>
  <c r="AX64" i="21"/>
  <c r="BC64" i="21"/>
  <c r="P31" i="21"/>
  <c r="P8" i="21"/>
  <c r="P7" i="21"/>
  <c r="P25" i="21"/>
  <c r="P24" i="21"/>
  <c r="P18" i="21"/>
  <c r="P15" i="21"/>
  <c r="P12" i="21"/>
  <c r="P10" i="21"/>
  <c r="P6" i="21"/>
  <c r="P16" i="21"/>
  <c r="P20" i="21"/>
  <c r="P27" i="21"/>
  <c r="P13" i="21"/>
  <c r="P19" i="21"/>
  <c r="P11" i="21"/>
  <c r="P17" i="21"/>
  <c r="P22" i="21"/>
  <c r="P14" i="21"/>
  <c r="BH62" i="21"/>
  <c r="L30" i="21" s="1"/>
  <c r="Z30" i="21" s="1"/>
  <c r="AA32" i="21" l="1"/>
  <c r="Q32" i="21"/>
  <c r="BQ60" i="12"/>
  <c r="BX60" i="12"/>
  <c r="AB12" i="12"/>
  <c r="R12" i="12"/>
  <c r="BQ38" i="12"/>
  <c r="BX38" i="12"/>
  <c r="CA44" i="12"/>
  <c r="BZ44" i="12"/>
  <c r="BQ46" i="12"/>
  <c r="BX46" i="12"/>
  <c r="BQ54" i="12"/>
  <c r="BX54" i="12"/>
  <c r="Q13" i="12"/>
  <c r="AA13" i="12"/>
  <c r="BQ48" i="12"/>
  <c r="BX48" i="12"/>
  <c r="AB13" i="12"/>
  <c r="R13" i="12"/>
  <c r="CA45" i="12"/>
  <c r="BZ45" i="12"/>
  <c r="BQ40" i="12"/>
  <c r="BX40" i="12"/>
  <c r="BQ50" i="12"/>
  <c r="BX50" i="12"/>
  <c r="Q12" i="12"/>
  <c r="AA12" i="12"/>
  <c r="BR47" i="12"/>
  <c r="BK47" i="12"/>
  <c r="BK59" i="12"/>
  <c r="BR59" i="12"/>
  <c r="BO40" i="12"/>
  <c r="BN40" i="12"/>
  <c r="BR56" i="12"/>
  <c r="BK56" i="12"/>
  <c r="BK43" i="12"/>
  <c r="BR43" i="12"/>
  <c r="BR37" i="12"/>
  <c r="BK37" i="12"/>
  <c r="BK51" i="12"/>
  <c r="BR51" i="12"/>
  <c r="BO38" i="12"/>
  <c r="BN38" i="12"/>
  <c r="BR42" i="12"/>
  <c r="BK42" i="12"/>
  <c r="BR63" i="12"/>
  <c r="BK63" i="12"/>
  <c r="BN50" i="12"/>
  <c r="BO50" i="12"/>
  <c r="BO60" i="12"/>
  <c r="BN60" i="12"/>
  <c r="BR49" i="12"/>
  <c r="BK49" i="12"/>
  <c r="BN48" i="12"/>
  <c r="BO48" i="12"/>
  <c r="BR39" i="12"/>
  <c r="BK39" i="12"/>
  <c r="BO46" i="12"/>
  <c r="BN46" i="12"/>
  <c r="BO54" i="12"/>
  <c r="BN54" i="12"/>
  <c r="BR57" i="12"/>
  <c r="BK57" i="12"/>
  <c r="BK52" i="12"/>
  <c r="BR52" i="12"/>
  <c r="P30" i="21"/>
  <c r="BH64" i="21"/>
  <c r="L32" i="21" s="1"/>
  <c r="Z32" i="21" s="1"/>
  <c r="O56" i="12"/>
  <c r="O63" i="12"/>
  <c r="N63" i="12"/>
  <c r="O60" i="12"/>
  <c r="N60" i="12"/>
  <c r="O59" i="12"/>
  <c r="N59" i="12"/>
  <c r="O57" i="12"/>
  <c r="N57" i="12"/>
  <c r="N56" i="12"/>
  <c r="O54" i="12"/>
  <c r="N54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0" i="12"/>
  <c r="N40" i="12"/>
  <c r="O39" i="12"/>
  <c r="N39" i="12"/>
  <c r="O38" i="12"/>
  <c r="N38" i="12"/>
  <c r="O37" i="12"/>
  <c r="N37" i="12"/>
  <c r="O36" i="12"/>
  <c r="N36" i="12"/>
  <c r="L30" i="10"/>
  <c r="V30" i="10" s="1"/>
  <c r="J31" i="10"/>
  <c r="K31" i="10"/>
  <c r="L29" i="10"/>
  <c r="V29" i="10" s="1"/>
  <c r="L28" i="10"/>
  <c r="V28" i="10" s="1"/>
  <c r="L26" i="10"/>
  <c r="V25" i="10" s="1"/>
  <c r="L25" i="10"/>
  <c r="L21" i="10"/>
  <c r="V20" i="10" s="1"/>
  <c r="L20" i="10"/>
  <c r="V19" i="10" s="1"/>
  <c r="L19" i="10"/>
  <c r="V18" i="10" s="1"/>
  <c r="L11" i="10"/>
  <c r="V10" i="10" s="1"/>
  <c r="L5" i="10"/>
  <c r="V5" i="10" s="1"/>
  <c r="O30" i="10"/>
  <c r="AA30" i="10" s="1"/>
  <c r="O29" i="10"/>
  <c r="AA29" i="10" s="1"/>
  <c r="O28" i="10"/>
  <c r="AA28" i="10" s="1"/>
  <c r="O27" i="10"/>
  <c r="AA27" i="10" s="1"/>
  <c r="O26" i="10"/>
  <c r="AA26" i="10" s="1"/>
  <c r="O25" i="10"/>
  <c r="AA25" i="10" s="1"/>
  <c r="O24" i="10"/>
  <c r="AA24" i="10" s="1"/>
  <c r="O23" i="10"/>
  <c r="AA23" i="10" s="1"/>
  <c r="O22" i="10"/>
  <c r="AA22" i="10" s="1"/>
  <c r="O21" i="10"/>
  <c r="AA21" i="10" s="1"/>
  <c r="O20" i="10"/>
  <c r="AA20" i="10" s="1"/>
  <c r="O19" i="10"/>
  <c r="AA19" i="10" s="1"/>
  <c r="O18" i="10"/>
  <c r="AA18" i="10" s="1"/>
  <c r="O17" i="10"/>
  <c r="AA17" i="10" s="1"/>
  <c r="O16" i="10"/>
  <c r="AA16" i="10" s="1"/>
  <c r="O15" i="10"/>
  <c r="AA15" i="10" s="1"/>
  <c r="O14" i="10"/>
  <c r="AA14" i="10" s="1"/>
  <c r="O13" i="10"/>
  <c r="AA13" i="10" s="1"/>
  <c r="O12" i="10"/>
  <c r="AA12" i="10" s="1"/>
  <c r="O11" i="10"/>
  <c r="AA11" i="10" s="1"/>
  <c r="O10" i="10"/>
  <c r="AA10" i="10" s="1"/>
  <c r="O9" i="10"/>
  <c r="AA9" i="10" s="1"/>
  <c r="O8" i="10"/>
  <c r="AA8" i="10" s="1"/>
  <c r="O7" i="10"/>
  <c r="AA7" i="10" s="1"/>
  <c r="O6" i="10"/>
  <c r="AA6" i="10" s="1"/>
  <c r="O5" i="10"/>
  <c r="AA5" i="10" s="1"/>
  <c r="M31" i="10"/>
  <c r="BQ52" i="12" l="1"/>
  <c r="BX52" i="12"/>
  <c r="BQ51" i="12"/>
  <c r="BX51" i="12"/>
  <c r="CD50" i="12"/>
  <c r="CC50" i="12" s="1"/>
  <c r="CF50" i="12" s="1"/>
  <c r="N18" i="12" s="1"/>
  <c r="BW50" i="12"/>
  <c r="CD48" i="12"/>
  <c r="CC48" i="12" s="1"/>
  <c r="CF48" i="12" s="1"/>
  <c r="N16" i="12" s="1"/>
  <c r="BW48" i="12"/>
  <c r="BQ39" i="12"/>
  <c r="BX39" i="12"/>
  <c r="BT50" i="12"/>
  <c r="M18" i="12" s="1"/>
  <c r="BU50" i="12"/>
  <c r="BT48" i="12"/>
  <c r="M16" i="12" s="1"/>
  <c r="BU48" i="12"/>
  <c r="BQ59" i="12"/>
  <c r="BX59" i="12"/>
  <c r="CD40" i="12"/>
  <c r="CC40" i="12" s="1"/>
  <c r="CF40" i="12" s="1"/>
  <c r="N8" i="12" s="1"/>
  <c r="BW40" i="12"/>
  <c r="BW38" i="12"/>
  <c r="CD38" i="12"/>
  <c r="CC38" i="12" s="1"/>
  <c r="CF38" i="12" s="1"/>
  <c r="N6" i="12" s="1"/>
  <c r="BQ57" i="12"/>
  <c r="BX57" i="12"/>
  <c r="BQ37" i="12"/>
  <c r="BX37" i="12"/>
  <c r="BT40" i="12"/>
  <c r="M8" i="12" s="1"/>
  <c r="BU40" i="12"/>
  <c r="BT38" i="12"/>
  <c r="M6" i="12" s="1"/>
  <c r="BU38" i="12"/>
  <c r="BQ43" i="12"/>
  <c r="BX43" i="12"/>
  <c r="BW54" i="12"/>
  <c r="CD54" i="12"/>
  <c r="CC54" i="12" s="1"/>
  <c r="CF54" i="12" s="1"/>
  <c r="N22" i="12" s="1"/>
  <c r="BQ49" i="12"/>
  <c r="BX49" i="12"/>
  <c r="BQ42" i="12"/>
  <c r="BX42" i="12"/>
  <c r="BQ47" i="12"/>
  <c r="BX47" i="12"/>
  <c r="BT54" i="12"/>
  <c r="M22" i="12" s="1"/>
  <c r="BU54" i="12"/>
  <c r="BW46" i="12"/>
  <c r="CD46" i="12"/>
  <c r="CC46" i="12" s="1"/>
  <c r="CF46" i="12" s="1"/>
  <c r="N14" i="12" s="1"/>
  <c r="CD60" i="12"/>
  <c r="CC60" i="12" s="1"/>
  <c r="CF60" i="12" s="1"/>
  <c r="N28" i="12" s="1"/>
  <c r="BW60" i="12"/>
  <c r="BQ56" i="12"/>
  <c r="BX56" i="12"/>
  <c r="BT46" i="12"/>
  <c r="M14" i="12" s="1"/>
  <c r="BU46" i="12"/>
  <c r="BT60" i="12"/>
  <c r="M28" i="12" s="1"/>
  <c r="BU60" i="12"/>
  <c r="BQ63" i="12"/>
  <c r="BX63" i="12"/>
  <c r="BO56" i="12"/>
  <c r="BN56" i="12"/>
  <c r="BO39" i="12"/>
  <c r="BN39" i="12"/>
  <c r="BO52" i="12"/>
  <c r="BN52" i="12"/>
  <c r="BO51" i="12"/>
  <c r="BN51" i="12"/>
  <c r="BO57" i="12"/>
  <c r="BN57" i="12"/>
  <c r="BO63" i="12"/>
  <c r="BN63" i="12"/>
  <c r="BO37" i="12"/>
  <c r="BN37" i="12"/>
  <c r="BO59" i="12"/>
  <c r="BN59" i="12"/>
  <c r="BN49" i="12"/>
  <c r="BO49" i="12"/>
  <c r="BO42" i="12"/>
  <c r="BN42" i="12"/>
  <c r="BO47" i="12"/>
  <c r="BN47" i="12"/>
  <c r="BO43" i="12"/>
  <c r="BN43" i="12"/>
  <c r="P32" i="21"/>
  <c r="I5" i="11"/>
  <c r="I6" i="11"/>
  <c r="I4" i="11"/>
  <c r="I3" i="11"/>
  <c r="BT49" i="12" l="1"/>
  <c r="M17" i="12" s="1"/>
  <c r="BU49" i="12"/>
  <c r="R22" i="12"/>
  <c r="AB22" i="12"/>
  <c r="CA48" i="12"/>
  <c r="BZ48" i="12"/>
  <c r="Q14" i="12"/>
  <c r="AA14" i="12"/>
  <c r="Q22" i="12"/>
  <c r="AA22" i="12"/>
  <c r="CA54" i="12"/>
  <c r="BZ54" i="12"/>
  <c r="BT37" i="12"/>
  <c r="M5" i="12" s="1"/>
  <c r="BU37" i="12"/>
  <c r="BT59" i="12"/>
  <c r="M27" i="12" s="1"/>
  <c r="BU59" i="12"/>
  <c r="AB16" i="12"/>
  <c r="R16" i="12"/>
  <c r="Q8" i="12"/>
  <c r="AA8" i="12"/>
  <c r="BW37" i="12"/>
  <c r="CD37" i="12"/>
  <c r="CC37" i="12" s="1"/>
  <c r="CF37" i="12" s="1"/>
  <c r="N5" i="12" s="1"/>
  <c r="CD59" i="12"/>
  <c r="CC59" i="12" s="1"/>
  <c r="CF59" i="12" s="1"/>
  <c r="N27" i="12" s="1"/>
  <c r="BW59" i="12"/>
  <c r="CD56" i="12"/>
  <c r="CC56" i="12" s="1"/>
  <c r="CF56" i="12" s="1"/>
  <c r="N24" i="12" s="1"/>
  <c r="BW56" i="12"/>
  <c r="CD47" i="12"/>
  <c r="CC47" i="12" s="1"/>
  <c r="CF47" i="12" s="1"/>
  <c r="N15" i="12" s="1"/>
  <c r="BW47" i="12"/>
  <c r="CD43" i="12"/>
  <c r="CC43" i="12" s="1"/>
  <c r="CF43" i="12" s="1"/>
  <c r="N11" i="12" s="1"/>
  <c r="BW43" i="12"/>
  <c r="BW57" i="12"/>
  <c r="CD57" i="12"/>
  <c r="CC57" i="12" s="1"/>
  <c r="CF57" i="12" s="1"/>
  <c r="N25" i="12" s="1"/>
  <c r="CA50" i="12"/>
  <c r="BZ50" i="12"/>
  <c r="CA46" i="12"/>
  <c r="BZ46" i="12"/>
  <c r="BT52" i="12"/>
  <c r="M20" i="12" s="1"/>
  <c r="BU52" i="12"/>
  <c r="BT56" i="12"/>
  <c r="M24" i="12" s="1"/>
  <c r="BU56" i="12"/>
  <c r="BT57" i="12"/>
  <c r="M25" i="12" s="1"/>
  <c r="BU57" i="12"/>
  <c r="R18" i="12"/>
  <c r="AB18" i="12"/>
  <c r="CA60" i="12"/>
  <c r="BZ60" i="12"/>
  <c r="CD42" i="12"/>
  <c r="CC42" i="12" s="1"/>
  <c r="CF42" i="12" s="1"/>
  <c r="N10" i="12" s="1"/>
  <c r="BW42" i="12"/>
  <c r="R6" i="12"/>
  <c r="AB6" i="12"/>
  <c r="CD51" i="12"/>
  <c r="CC51" i="12" s="1"/>
  <c r="CF51" i="12" s="1"/>
  <c r="N19" i="12" s="1"/>
  <c r="BW51" i="12"/>
  <c r="Q28" i="12"/>
  <c r="AA28" i="12"/>
  <c r="BT39" i="12"/>
  <c r="M7" i="12" s="1"/>
  <c r="BU39" i="12"/>
  <c r="BT47" i="12"/>
  <c r="M15" i="12" s="1"/>
  <c r="BU47" i="12"/>
  <c r="AB28" i="12"/>
  <c r="R28" i="12"/>
  <c r="BT42" i="12"/>
  <c r="M10" i="12" s="1"/>
  <c r="BU42" i="12"/>
  <c r="Q6" i="12"/>
  <c r="AA6" i="12"/>
  <c r="CA38" i="12"/>
  <c r="BZ38" i="12"/>
  <c r="Q18" i="12"/>
  <c r="AA18" i="12"/>
  <c r="BT51" i="12"/>
  <c r="M19" i="12" s="1"/>
  <c r="BU51" i="12"/>
  <c r="AB8" i="12"/>
  <c r="R8" i="12"/>
  <c r="BT43" i="12"/>
  <c r="M11" i="12" s="1"/>
  <c r="BU43" i="12"/>
  <c r="Q16" i="12"/>
  <c r="AA16" i="12"/>
  <c r="R14" i="12"/>
  <c r="AB14" i="12"/>
  <c r="CD49" i="12"/>
  <c r="CC49" i="12" s="1"/>
  <c r="CF49" i="12" s="1"/>
  <c r="N17" i="12" s="1"/>
  <c r="BW49" i="12"/>
  <c r="CA40" i="12"/>
  <c r="BZ40" i="12"/>
  <c r="CD39" i="12"/>
  <c r="CC39" i="12" s="1"/>
  <c r="CF39" i="12" s="1"/>
  <c r="N7" i="12" s="1"/>
  <c r="BW39" i="12"/>
  <c r="BW52" i="12"/>
  <c r="CD52" i="12"/>
  <c r="CC52" i="12" s="1"/>
  <c r="CF52" i="12" s="1"/>
  <c r="N20" i="12" s="1"/>
  <c r="CD63" i="12"/>
  <c r="CC63" i="12" s="1"/>
  <c r="CF63" i="12" s="1"/>
  <c r="N31" i="12" s="1"/>
  <c r="BW63" i="12"/>
  <c r="BT63" i="12"/>
  <c r="M31" i="12" s="1"/>
  <c r="BU63" i="12"/>
  <c r="J4" i="11"/>
  <c r="Q4" i="11" s="1"/>
  <c r="J3" i="11"/>
  <c r="Q3" i="11" s="1"/>
  <c r="J6" i="11"/>
  <c r="Q6" i="11" s="1"/>
  <c r="J5" i="11"/>
  <c r="Q5" i="11" s="1"/>
  <c r="Y3" i="12"/>
  <c r="AB24" i="12" l="1"/>
  <c r="R24" i="12"/>
  <c r="Q17" i="12"/>
  <c r="AA17" i="12"/>
  <c r="CA49" i="12"/>
  <c r="BZ49" i="12"/>
  <c r="CA42" i="12"/>
  <c r="BZ42" i="12"/>
  <c r="AB25" i="12"/>
  <c r="R25" i="12"/>
  <c r="CA59" i="12"/>
  <c r="BZ59" i="12"/>
  <c r="Q15" i="12"/>
  <c r="AA15" i="12"/>
  <c r="Q7" i="12"/>
  <c r="AA7" i="12"/>
  <c r="R10" i="12"/>
  <c r="AB10" i="12"/>
  <c r="Q24" i="12"/>
  <c r="AA24" i="12"/>
  <c r="CA57" i="12"/>
  <c r="BZ57" i="12"/>
  <c r="R27" i="12"/>
  <c r="AB27" i="12"/>
  <c r="Q27" i="12"/>
  <c r="AA27" i="12"/>
  <c r="AB17" i="12"/>
  <c r="R17" i="12"/>
  <c r="AB20" i="12"/>
  <c r="R20" i="12"/>
  <c r="CA43" i="12"/>
  <c r="BZ43" i="12"/>
  <c r="AB5" i="12"/>
  <c r="R5" i="12"/>
  <c r="Q11" i="12"/>
  <c r="AA11" i="12"/>
  <c r="CA52" i="12"/>
  <c r="BZ52" i="12"/>
  <c r="Q10" i="12"/>
  <c r="AA10" i="12"/>
  <c r="R11" i="12"/>
  <c r="AB11" i="12"/>
  <c r="CA37" i="12"/>
  <c r="BZ37" i="12"/>
  <c r="Q5" i="12"/>
  <c r="AA5" i="12"/>
  <c r="BZ39" i="12"/>
  <c r="CA39" i="12"/>
  <c r="CA51" i="12"/>
  <c r="BZ51" i="12"/>
  <c r="BZ47" i="12"/>
  <c r="CA47" i="12"/>
  <c r="Q19" i="12"/>
  <c r="AA19" i="12"/>
  <c r="R7" i="12"/>
  <c r="AB7" i="12"/>
  <c r="R19" i="12"/>
  <c r="AB19" i="12"/>
  <c r="R15" i="12"/>
  <c r="AB15" i="12"/>
  <c r="Q25" i="12"/>
  <c r="AA25" i="12"/>
  <c r="Q20" i="12"/>
  <c r="AA20" i="12"/>
  <c r="CA56" i="12"/>
  <c r="BZ56" i="12"/>
  <c r="CA63" i="12"/>
  <c r="BZ63" i="12"/>
  <c r="R31" i="12"/>
  <c r="AB31" i="12"/>
  <c r="Q31" i="12"/>
  <c r="AA31" i="12"/>
  <c r="R11" i="11"/>
  <c r="R12" i="11"/>
  <c r="R13" i="11"/>
  <c r="R10" i="11"/>
  <c r="B40" i="11"/>
  <c r="A36" i="11"/>
  <c r="A37" i="11"/>
  <c r="A38" i="11"/>
  <c r="A39" i="11"/>
  <c r="A40" i="11"/>
  <c r="A35" i="11"/>
  <c r="L10" i="11" l="1"/>
  <c r="K3" i="11" s="1"/>
  <c r="R3" i="11"/>
  <c r="R4" i="11"/>
  <c r="L11" i="11"/>
  <c r="K4" i="11" s="1"/>
  <c r="R5" i="11"/>
  <c r="L12" i="11"/>
  <c r="K5" i="11" s="1"/>
  <c r="R6" i="11"/>
  <c r="L13" i="11"/>
  <c r="K6" i="11" s="1"/>
  <c r="Q11" i="11"/>
  <c r="Q12" i="11"/>
  <c r="Q13" i="11"/>
  <c r="Q10" i="11"/>
  <c r="K49" i="8"/>
  <c r="D45" i="10" l="1"/>
  <c r="M46" i="8" s="1"/>
  <c r="E14" i="8" s="1"/>
  <c r="D44" i="10"/>
  <c r="M45" i="8" s="1"/>
  <c r="E13" i="8" s="1"/>
  <c r="D39" i="10"/>
  <c r="M40" i="8" s="1"/>
  <c r="K40" i="8"/>
  <c r="AD40" i="8" s="1"/>
  <c r="AJ40" i="8" s="1"/>
  <c r="K46" i="8"/>
  <c r="AD46" i="8" s="1"/>
  <c r="AJ46" i="8" s="1"/>
  <c r="K45" i="8"/>
  <c r="AD45" i="8" s="1"/>
  <c r="AJ45" i="8" s="1"/>
  <c r="AD13" i="8" l="1"/>
  <c r="AH13" i="8" s="1"/>
  <c r="AM45" i="8"/>
  <c r="AD14" i="8"/>
  <c r="AH14" i="8" s="1"/>
  <c r="AM46" i="8"/>
  <c r="AD8" i="8"/>
  <c r="AH8" i="8" s="1"/>
  <c r="AM40" i="8"/>
  <c r="L40" i="8"/>
  <c r="E8" i="8"/>
  <c r="L45" i="8"/>
  <c r="AF45" i="8" s="1"/>
  <c r="L46" i="8"/>
  <c r="D11" i="10"/>
  <c r="D19" i="10"/>
  <c r="D20" i="10"/>
  <c r="D21" i="10"/>
  <c r="AP40" i="8" l="1"/>
  <c r="AO40" i="8"/>
  <c r="AP45" i="8"/>
  <c r="AO45" i="8"/>
  <c r="AP46" i="8"/>
  <c r="AO46" i="8"/>
  <c r="Z45" i="8"/>
  <c r="K13" i="8" s="1"/>
  <c r="AL45" i="8"/>
  <c r="L13" i="8" s="1"/>
  <c r="AF46" i="8"/>
  <c r="Z46" i="8"/>
  <c r="K14" i="8" s="1"/>
  <c r="AL46" i="8"/>
  <c r="L14" i="8" s="1"/>
  <c r="AF40" i="8"/>
  <c r="Z40" i="8"/>
  <c r="K8" i="8" s="1"/>
  <c r="AL40" i="8"/>
  <c r="L8" i="8" s="1"/>
  <c r="B9" i="11"/>
  <c r="C9" i="11"/>
  <c r="D9" i="11"/>
  <c r="E9" i="11"/>
  <c r="AL35" i="8"/>
  <c r="AK35" i="8"/>
  <c r="AJ35" i="8"/>
  <c r="AF35" i="8"/>
  <c r="AE35" i="8"/>
  <c r="AD35" i="8"/>
  <c r="Z35" i="8"/>
  <c r="Y35" i="8"/>
  <c r="M35" i="8"/>
  <c r="L35" i="8"/>
  <c r="K35" i="8"/>
  <c r="J35" i="8"/>
  <c r="I35" i="8"/>
  <c r="H35" i="8"/>
  <c r="G35" i="8"/>
  <c r="F35" i="8"/>
  <c r="E35" i="8"/>
  <c r="Y13" i="8" l="1"/>
  <c r="O13" i="8"/>
  <c r="Z8" i="8"/>
  <c r="P8" i="8"/>
  <c r="Z14" i="8"/>
  <c r="P14" i="8"/>
  <c r="AR45" i="8"/>
  <c r="M13" i="8" s="1"/>
  <c r="AS45" i="8"/>
  <c r="AE13" i="8"/>
  <c r="AI13" i="8" s="1"/>
  <c r="AR46" i="8"/>
  <c r="M14" i="8" s="1"/>
  <c r="AS46" i="8"/>
  <c r="AE14" i="8"/>
  <c r="AI14" i="8" s="1"/>
  <c r="Y14" i="8"/>
  <c r="O14" i="8"/>
  <c r="Z13" i="8"/>
  <c r="P13" i="8"/>
  <c r="Y8" i="8"/>
  <c r="O8" i="8"/>
  <c r="AR40" i="8"/>
  <c r="M8" i="8" s="1"/>
  <c r="AS40" i="8"/>
  <c r="AE8" i="8"/>
  <c r="AI8" i="8" s="1"/>
  <c r="BD60" i="12"/>
  <c r="BD59" i="12"/>
  <c r="BD57" i="12"/>
  <c r="BD56" i="12"/>
  <c r="BD54" i="12"/>
  <c r="BD52" i="12"/>
  <c r="BD51" i="12"/>
  <c r="BD50" i="12"/>
  <c r="BD49" i="12"/>
  <c r="BD48" i="12"/>
  <c r="BD47" i="12"/>
  <c r="BD46" i="12"/>
  <c r="BD45" i="12"/>
  <c r="BD44" i="12"/>
  <c r="BD43" i="12"/>
  <c r="BD42" i="12"/>
  <c r="BD40" i="12"/>
  <c r="BD39" i="12"/>
  <c r="BD37" i="12"/>
  <c r="AA13" i="8" l="1"/>
  <c r="Q13" i="8"/>
  <c r="AV40" i="8"/>
  <c r="AU40" i="8"/>
  <c r="AV46" i="8"/>
  <c r="AU46" i="8"/>
  <c r="AA8" i="8"/>
  <c r="Q8" i="8"/>
  <c r="Q14" i="8"/>
  <c r="AA14" i="8"/>
  <c r="AV45" i="8"/>
  <c r="AU45" i="8"/>
  <c r="J6" i="4"/>
  <c r="K6" i="4"/>
  <c r="M6" i="4"/>
  <c r="K37" i="21" s="1"/>
  <c r="N6" i="4"/>
  <c r="J37" i="21" s="1"/>
  <c r="L37" i="21" s="1"/>
  <c r="M37" i="21" s="1"/>
  <c r="D5" i="21" s="1"/>
  <c r="J7" i="4"/>
  <c r="K7" i="4"/>
  <c r="M7" i="4"/>
  <c r="K38" i="21" s="1"/>
  <c r="N7" i="4"/>
  <c r="J38" i="21" s="1"/>
  <c r="J8" i="4"/>
  <c r="K8" i="4"/>
  <c r="M8" i="4"/>
  <c r="K39" i="21" s="1"/>
  <c r="N8" i="4"/>
  <c r="J39" i="21" s="1"/>
  <c r="L39" i="21" s="1"/>
  <c r="M39" i="21" s="1"/>
  <c r="D7" i="21" s="1"/>
  <c r="J9" i="4"/>
  <c r="K9" i="4"/>
  <c r="M9" i="4"/>
  <c r="K40" i="21" s="1"/>
  <c r="N9" i="4"/>
  <c r="J40" i="21" s="1"/>
  <c r="J10" i="4"/>
  <c r="K10" i="4"/>
  <c r="M10" i="4"/>
  <c r="K41" i="21" s="1"/>
  <c r="N10" i="4"/>
  <c r="J41" i="21" s="1"/>
  <c r="L41" i="21" s="1"/>
  <c r="M41" i="21" s="1"/>
  <c r="D9" i="21" s="1"/>
  <c r="J11" i="4"/>
  <c r="K11" i="4"/>
  <c r="M11" i="4"/>
  <c r="K42" i="21" s="1"/>
  <c r="N11" i="4"/>
  <c r="J42" i="21" s="1"/>
  <c r="J12" i="4"/>
  <c r="K12" i="4"/>
  <c r="M12" i="4"/>
  <c r="K43" i="21" s="1"/>
  <c r="N12" i="4"/>
  <c r="J43" i="21" s="1"/>
  <c r="L43" i="21" s="1"/>
  <c r="M43" i="21" s="1"/>
  <c r="D11" i="21" s="1"/>
  <c r="J13" i="4"/>
  <c r="K13" i="4"/>
  <c r="M13" i="4"/>
  <c r="K44" i="21" s="1"/>
  <c r="N13" i="4"/>
  <c r="J44" i="21" s="1"/>
  <c r="J14" i="4"/>
  <c r="K14" i="4"/>
  <c r="M14" i="4"/>
  <c r="K45" i="21" s="1"/>
  <c r="N14" i="4"/>
  <c r="J45" i="21" s="1"/>
  <c r="L45" i="21" s="1"/>
  <c r="M45" i="21" s="1"/>
  <c r="D13" i="21" s="1"/>
  <c r="J15" i="4"/>
  <c r="K15" i="4"/>
  <c r="M15" i="4"/>
  <c r="K46" i="21" s="1"/>
  <c r="N15" i="4"/>
  <c r="J46" i="21" s="1"/>
  <c r="J16" i="4"/>
  <c r="K16" i="4"/>
  <c r="M16" i="4"/>
  <c r="K47" i="21" s="1"/>
  <c r="N16" i="4"/>
  <c r="J47" i="21" s="1"/>
  <c r="L47" i="21" s="1"/>
  <c r="M47" i="21" s="1"/>
  <c r="D15" i="21" s="1"/>
  <c r="J17" i="4"/>
  <c r="K17" i="4"/>
  <c r="M17" i="4"/>
  <c r="K48" i="21" s="1"/>
  <c r="N17" i="4"/>
  <c r="J48" i="21" s="1"/>
  <c r="J18" i="4"/>
  <c r="K18" i="4"/>
  <c r="M18" i="4"/>
  <c r="K49" i="21" s="1"/>
  <c r="N18" i="4"/>
  <c r="J49" i="21" s="1"/>
  <c r="L49" i="21" s="1"/>
  <c r="M49" i="21" s="1"/>
  <c r="D17" i="21" s="1"/>
  <c r="J19" i="4"/>
  <c r="K19" i="4"/>
  <c r="M19" i="4"/>
  <c r="K50" i="21" s="1"/>
  <c r="N19" i="4"/>
  <c r="J50" i="21" s="1"/>
  <c r="J20" i="4"/>
  <c r="K20" i="4"/>
  <c r="M20" i="4"/>
  <c r="K51" i="21" s="1"/>
  <c r="N20" i="4"/>
  <c r="J51" i="21" s="1"/>
  <c r="L51" i="21" s="1"/>
  <c r="M51" i="21" s="1"/>
  <c r="D19" i="21" s="1"/>
  <c r="J21" i="4"/>
  <c r="K21" i="4"/>
  <c r="M21" i="4"/>
  <c r="K52" i="21" s="1"/>
  <c r="N21" i="4"/>
  <c r="J52" i="21" s="1"/>
  <c r="J22" i="4"/>
  <c r="K22" i="4"/>
  <c r="M22" i="4"/>
  <c r="K53" i="21" s="1"/>
  <c r="N22" i="4"/>
  <c r="J53" i="21" s="1"/>
  <c r="L53" i="21" s="1"/>
  <c r="M53" i="21" s="1"/>
  <c r="D21" i="21" s="1"/>
  <c r="J23" i="4"/>
  <c r="K23" i="4"/>
  <c r="M23" i="4"/>
  <c r="K54" i="21" s="1"/>
  <c r="N23" i="4"/>
  <c r="J54" i="21" s="1"/>
  <c r="J24" i="4"/>
  <c r="K24" i="4"/>
  <c r="M24" i="4"/>
  <c r="K55" i="21" s="1"/>
  <c r="N24" i="4"/>
  <c r="J55" i="21" s="1"/>
  <c r="L55" i="21" s="1"/>
  <c r="M55" i="21" s="1"/>
  <c r="D23" i="21" s="1"/>
  <c r="J25" i="4"/>
  <c r="K25" i="4"/>
  <c r="M25" i="4"/>
  <c r="K56" i="21" s="1"/>
  <c r="N25" i="4"/>
  <c r="J56" i="21" s="1"/>
  <c r="J26" i="4"/>
  <c r="K26" i="4"/>
  <c r="M26" i="4"/>
  <c r="K57" i="21" s="1"/>
  <c r="N26" i="4"/>
  <c r="J57" i="21" s="1"/>
  <c r="L57" i="21" s="1"/>
  <c r="M57" i="21" s="1"/>
  <c r="D25" i="21" s="1"/>
  <c r="J27" i="4"/>
  <c r="K27" i="4"/>
  <c r="M27" i="4"/>
  <c r="K58" i="21" s="1"/>
  <c r="N27" i="4"/>
  <c r="J58" i="21" s="1"/>
  <c r="J28" i="4"/>
  <c r="K28" i="4"/>
  <c r="M28" i="4"/>
  <c r="K59" i="21" s="1"/>
  <c r="N28" i="4"/>
  <c r="J59" i="21" s="1"/>
  <c r="L59" i="21" s="1"/>
  <c r="M59" i="21" s="1"/>
  <c r="D27" i="21" s="1"/>
  <c r="J29" i="4"/>
  <c r="K29" i="4"/>
  <c r="M29" i="4"/>
  <c r="K60" i="21" s="1"/>
  <c r="N29" i="4"/>
  <c r="J60" i="21" s="1"/>
  <c r="J30" i="4"/>
  <c r="K30" i="4"/>
  <c r="M30" i="4"/>
  <c r="K63" i="21" s="1"/>
  <c r="N30" i="4"/>
  <c r="J63" i="21" s="1"/>
  <c r="L63" i="21" s="1"/>
  <c r="M63" i="21" s="1"/>
  <c r="D31" i="21" s="1"/>
  <c r="N5" i="4"/>
  <c r="J36" i="21" s="1"/>
  <c r="M5" i="4"/>
  <c r="K36" i="21" s="1"/>
  <c r="K5" i="4"/>
  <c r="J5" i="4"/>
  <c r="J13" i="3"/>
  <c r="K13" i="3"/>
  <c r="M13" i="3"/>
  <c r="G44" i="21" s="1"/>
  <c r="N13" i="3"/>
  <c r="F44" i="21" s="1"/>
  <c r="H44" i="21" s="1"/>
  <c r="I44" i="21" s="1"/>
  <c r="C12" i="21" s="1"/>
  <c r="J14" i="3"/>
  <c r="K14" i="3"/>
  <c r="M14" i="3"/>
  <c r="G45" i="21" s="1"/>
  <c r="N14" i="3"/>
  <c r="F45" i="21" s="1"/>
  <c r="J15" i="3"/>
  <c r="K15" i="3"/>
  <c r="M15" i="3"/>
  <c r="G46" i="21" s="1"/>
  <c r="N15" i="3"/>
  <c r="F46" i="21" s="1"/>
  <c r="H46" i="21" s="1"/>
  <c r="I46" i="21" s="1"/>
  <c r="C14" i="21" s="1"/>
  <c r="J16" i="3"/>
  <c r="K16" i="3"/>
  <c r="M16" i="3"/>
  <c r="G47" i="21" s="1"/>
  <c r="N16" i="3"/>
  <c r="F47" i="21" s="1"/>
  <c r="J17" i="3"/>
  <c r="K17" i="3"/>
  <c r="M17" i="3"/>
  <c r="G48" i="21" s="1"/>
  <c r="N17" i="3"/>
  <c r="F48" i="21" s="1"/>
  <c r="H48" i="21" s="1"/>
  <c r="I48" i="21" s="1"/>
  <c r="C16" i="21" s="1"/>
  <c r="J18" i="3"/>
  <c r="K18" i="3"/>
  <c r="M18" i="3"/>
  <c r="G49" i="21" s="1"/>
  <c r="N18" i="3"/>
  <c r="F49" i="21" s="1"/>
  <c r="H49" i="21" s="1"/>
  <c r="I49" i="21" s="1"/>
  <c r="C17" i="21" s="1"/>
  <c r="J19" i="3"/>
  <c r="K19" i="3"/>
  <c r="M19" i="3"/>
  <c r="G50" i="21" s="1"/>
  <c r="N19" i="3"/>
  <c r="F50" i="21" s="1"/>
  <c r="H50" i="21" s="1"/>
  <c r="I50" i="21" s="1"/>
  <c r="C18" i="21" s="1"/>
  <c r="J20" i="3"/>
  <c r="K20" i="3"/>
  <c r="M20" i="3"/>
  <c r="G51" i="21" s="1"/>
  <c r="N20" i="3"/>
  <c r="F51" i="21" s="1"/>
  <c r="H51" i="21" s="1"/>
  <c r="I51" i="21" s="1"/>
  <c r="C19" i="21" s="1"/>
  <c r="J21" i="3"/>
  <c r="K21" i="3"/>
  <c r="M21" i="3"/>
  <c r="G52" i="21" s="1"/>
  <c r="N21" i="3"/>
  <c r="F52" i="21" s="1"/>
  <c r="H52" i="21" s="1"/>
  <c r="I52" i="21" s="1"/>
  <c r="C20" i="21" s="1"/>
  <c r="J22" i="3"/>
  <c r="K22" i="3"/>
  <c r="M22" i="3"/>
  <c r="G53" i="21" s="1"/>
  <c r="N22" i="3"/>
  <c r="F53" i="21" s="1"/>
  <c r="H53" i="21" s="1"/>
  <c r="I53" i="21" s="1"/>
  <c r="C21" i="21" s="1"/>
  <c r="J23" i="3"/>
  <c r="K23" i="3"/>
  <c r="M23" i="3"/>
  <c r="G54" i="21" s="1"/>
  <c r="N23" i="3"/>
  <c r="F54" i="21" s="1"/>
  <c r="H54" i="21" s="1"/>
  <c r="I54" i="21" s="1"/>
  <c r="C22" i="21" s="1"/>
  <c r="J24" i="3"/>
  <c r="K24" i="3"/>
  <c r="M24" i="3"/>
  <c r="G55" i="21" s="1"/>
  <c r="N24" i="3"/>
  <c r="F55" i="21" s="1"/>
  <c r="H55" i="21" s="1"/>
  <c r="I55" i="21" s="1"/>
  <c r="C23" i="21" s="1"/>
  <c r="J25" i="3"/>
  <c r="K25" i="3"/>
  <c r="M25" i="3"/>
  <c r="G56" i="21" s="1"/>
  <c r="N25" i="3"/>
  <c r="F56" i="21" s="1"/>
  <c r="H56" i="21" s="1"/>
  <c r="I56" i="21" s="1"/>
  <c r="C24" i="21" s="1"/>
  <c r="J26" i="3"/>
  <c r="K26" i="3"/>
  <c r="M26" i="3"/>
  <c r="G57" i="21" s="1"/>
  <c r="N26" i="3"/>
  <c r="F57" i="21" s="1"/>
  <c r="H57" i="21" s="1"/>
  <c r="I57" i="21" s="1"/>
  <c r="C25" i="21" s="1"/>
  <c r="J27" i="3"/>
  <c r="K27" i="3"/>
  <c r="M27" i="3"/>
  <c r="G58" i="21" s="1"/>
  <c r="N27" i="3"/>
  <c r="F58" i="21" s="1"/>
  <c r="H58" i="21" s="1"/>
  <c r="I58" i="21" s="1"/>
  <c r="C26" i="21" s="1"/>
  <c r="J28" i="3"/>
  <c r="K28" i="3"/>
  <c r="M28" i="3"/>
  <c r="G59" i="21" s="1"/>
  <c r="N28" i="3"/>
  <c r="F59" i="21" s="1"/>
  <c r="H59" i="21" s="1"/>
  <c r="I59" i="21" s="1"/>
  <c r="C27" i="21" s="1"/>
  <c r="J29" i="3"/>
  <c r="K29" i="3"/>
  <c r="M29" i="3"/>
  <c r="G60" i="21" s="1"/>
  <c r="N29" i="3"/>
  <c r="F60" i="21" s="1"/>
  <c r="H60" i="21" s="1"/>
  <c r="I60" i="21" s="1"/>
  <c r="C28" i="21" s="1"/>
  <c r="J30" i="3"/>
  <c r="K30" i="3"/>
  <c r="M30" i="3"/>
  <c r="G63" i="21" s="1"/>
  <c r="N30" i="3"/>
  <c r="F63" i="21" s="1"/>
  <c r="H63" i="21" s="1"/>
  <c r="I63" i="21" s="1"/>
  <c r="C31" i="21" s="1"/>
  <c r="J11" i="3"/>
  <c r="K11" i="3"/>
  <c r="M11" i="3"/>
  <c r="G42" i="21" s="1"/>
  <c r="N11" i="3"/>
  <c r="F42" i="21" s="1"/>
  <c r="H42" i="21" s="1"/>
  <c r="I42" i="21" s="1"/>
  <c r="C10" i="21" s="1"/>
  <c r="J12" i="3"/>
  <c r="K12" i="3"/>
  <c r="M12" i="3"/>
  <c r="G43" i="21" s="1"/>
  <c r="N12" i="3"/>
  <c r="F43" i="21" s="1"/>
  <c r="H43" i="21" s="1"/>
  <c r="I43" i="21" s="1"/>
  <c r="C11" i="21" s="1"/>
  <c r="J9" i="3"/>
  <c r="K9" i="3"/>
  <c r="M9" i="3"/>
  <c r="G40" i="21" s="1"/>
  <c r="N9" i="3"/>
  <c r="F40" i="21" s="1"/>
  <c r="H40" i="21" s="1"/>
  <c r="I40" i="21" s="1"/>
  <c r="C8" i="21" s="1"/>
  <c r="J10" i="3"/>
  <c r="K10" i="3"/>
  <c r="M10" i="3"/>
  <c r="G41" i="21" s="1"/>
  <c r="N10" i="3"/>
  <c r="F41" i="21" s="1"/>
  <c r="H41" i="21" s="1"/>
  <c r="I41" i="21" s="1"/>
  <c r="C9" i="21" s="1"/>
  <c r="J6" i="3"/>
  <c r="K6" i="3"/>
  <c r="M6" i="3"/>
  <c r="G37" i="21" s="1"/>
  <c r="N6" i="3"/>
  <c r="F37" i="21" s="1"/>
  <c r="H37" i="21" s="1"/>
  <c r="I37" i="21" s="1"/>
  <c r="C5" i="21" s="1"/>
  <c r="J7" i="3"/>
  <c r="K7" i="3"/>
  <c r="M7" i="3"/>
  <c r="G38" i="21" s="1"/>
  <c r="N7" i="3"/>
  <c r="F38" i="21" s="1"/>
  <c r="H38" i="21" s="1"/>
  <c r="I38" i="21" s="1"/>
  <c r="C6" i="21" s="1"/>
  <c r="J8" i="3"/>
  <c r="K8" i="3"/>
  <c r="M8" i="3"/>
  <c r="G39" i="21" s="1"/>
  <c r="N8" i="3"/>
  <c r="F39" i="21" s="1"/>
  <c r="H39" i="21" s="1"/>
  <c r="I39" i="21" s="1"/>
  <c r="C7" i="21" s="1"/>
  <c r="N5" i="3"/>
  <c r="F36" i="21" s="1"/>
  <c r="M5" i="3"/>
  <c r="G36" i="21" s="1"/>
  <c r="K5" i="3"/>
  <c r="J5" i="3"/>
  <c r="J11" i="2"/>
  <c r="K11" i="2"/>
  <c r="M11" i="2"/>
  <c r="C42" i="21" s="1"/>
  <c r="N11" i="2"/>
  <c r="B42" i="21" s="1"/>
  <c r="D42" i="21" s="1"/>
  <c r="E42" i="21" s="1"/>
  <c r="B10" i="21" s="1"/>
  <c r="J12" i="2"/>
  <c r="K12" i="2"/>
  <c r="M12" i="2"/>
  <c r="C43" i="21" s="1"/>
  <c r="N12" i="2"/>
  <c r="B43" i="21" s="1"/>
  <c r="D43" i="21" s="1"/>
  <c r="E43" i="21" s="1"/>
  <c r="B11" i="21" s="1"/>
  <c r="J13" i="2"/>
  <c r="K13" i="2"/>
  <c r="M13" i="2"/>
  <c r="C44" i="21" s="1"/>
  <c r="N13" i="2"/>
  <c r="B44" i="21" s="1"/>
  <c r="D44" i="21" s="1"/>
  <c r="E44" i="21" s="1"/>
  <c r="B12" i="21" s="1"/>
  <c r="J14" i="2"/>
  <c r="K14" i="2"/>
  <c r="M14" i="2"/>
  <c r="C45" i="21" s="1"/>
  <c r="N14" i="2"/>
  <c r="B45" i="21" s="1"/>
  <c r="D45" i="21" s="1"/>
  <c r="E45" i="21" s="1"/>
  <c r="B13" i="21" s="1"/>
  <c r="J15" i="2"/>
  <c r="K15" i="2"/>
  <c r="M15" i="2"/>
  <c r="C46" i="21" s="1"/>
  <c r="N15" i="2"/>
  <c r="B46" i="21" s="1"/>
  <c r="D46" i="21" s="1"/>
  <c r="E46" i="21" s="1"/>
  <c r="B14" i="21" s="1"/>
  <c r="J16" i="2"/>
  <c r="K16" i="2"/>
  <c r="M16" i="2"/>
  <c r="C47" i="21" s="1"/>
  <c r="N16" i="2"/>
  <c r="B47" i="21" s="1"/>
  <c r="D47" i="21" s="1"/>
  <c r="E47" i="21" s="1"/>
  <c r="B15" i="21" s="1"/>
  <c r="J17" i="2"/>
  <c r="K17" i="2"/>
  <c r="M17" i="2"/>
  <c r="C48" i="21" s="1"/>
  <c r="N17" i="2"/>
  <c r="B48" i="21" s="1"/>
  <c r="D48" i="21" s="1"/>
  <c r="E48" i="21" s="1"/>
  <c r="B16" i="21" s="1"/>
  <c r="J18" i="2"/>
  <c r="K18" i="2"/>
  <c r="M18" i="2"/>
  <c r="C49" i="21" s="1"/>
  <c r="N18" i="2"/>
  <c r="B49" i="21" s="1"/>
  <c r="D49" i="21" s="1"/>
  <c r="E49" i="21" s="1"/>
  <c r="B17" i="21" s="1"/>
  <c r="J19" i="2"/>
  <c r="K19" i="2"/>
  <c r="M19" i="2"/>
  <c r="C50" i="21" s="1"/>
  <c r="N19" i="2"/>
  <c r="B50" i="21" s="1"/>
  <c r="D50" i="21" s="1"/>
  <c r="E50" i="21" s="1"/>
  <c r="B18" i="21" s="1"/>
  <c r="J20" i="2"/>
  <c r="K20" i="2"/>
  <c r="M20" i="2"/>
  <c r="C51" i="21" s="1"/>
  <c r="N20" i="2"/>
  <c r="B51" i="21" s="1"/>
  <c r="D51" i="21" s="1"/>
  <c r="E51" i="21" s="1"/>
  <c r="B19" i="21" s="1"/>
  <c r="J21" i="2"/>
  <c r="K21" i="2"/>
  <c r="M21" i="2"/>
  <c r="C52" i="21" s="1"/>
  <c r="N21" i="2"/>
  <c r="B52" i="21" s="1"/>
  <c r="D52" i="21" s="1"/>
  <c r="E52" i="21" s="1"/>
  <c r="B20" i="21" s="1"/>
  <c r="J22" i="2"/>
  <c r="K22" i="2"/>
  <c r="M22" i="2"/>
  <c r="C53" i="21" s="1"/>
  <c r="N22" i="2"/>
  <c r="B53" i="21" s="1"/>
  <c r="D53" i="21" s="1"/>
  <c r="E53" i="21" s="1"/>
  <c r="B21" i="21" s="1"/>
  <c r="J23" i="2"/>
  <c r="K23" i="2"/>
  <c r="M23" i="2"/>
  <c r="C54" i="21" s="1"/>
  <c r="N23" i="2"/>
  <c r="B54" i="21" s="1"/>
  <c r="D54" i="21" s="1"/>
  <c r="E54" i="21" s="1"/>
  <c r="B22" i="21" s="1"/>
  <c r="J24" i="2"/>
  <c r="K24" i="2"/>
  <c r="M24" i="2"/>
  <c r="C55" i="21" s="1"/>
  <c r="N24" i="2"/>
  <c r="B55" i="21" s="1"/>
  <c r="D55" i="21" s="1"/>
  <c r="E55" i="21" s="1"/>
  <c r="B23" i="21" s="1"/>
  <c r="J25" i="2"/>
  <c r="K25" i="2"/>
  <c r="M25" i="2"/>
  <c r="C56" i="21" s="1"/>
  <c r="N25" i="2"/>
  <c r="B56" i="21" s="1"/>
  <c r="D56" i="21" s="1"/>
  <c r="E56" i="21" s="1"/>
  <c r="B24" i="21" s="1"/>
  <c r="J26" i="2"/>
  <c r="K26" i="2"/>
  <c r="M26" i="2"/>
  <c r="C57" i="21" s="1"/>
  <c r="N26" i="2"/>
  <c r="B57" i="21" s="1"/>
  <c r="D57" i="21" s="1"/>
  <c r="E57" i="21" s="1"/>
  <c r="B25" i="21" s="1"/>
  <c r="J27" i="2"/>
  <c r="K27" i="2"/>
  <c r="M27" i="2"/>
  <c r="C58" i="21" s="1"/>
  <c r="N27" i="2"/>
  <c r="B58" i="21" s="1"/>
  <c r="D58" i="21" s="1"/>
  <c r="E58" i="21" s="1"/>
  <c r="B26" i="21" s="1"/>
  <c r="J28" i="2"/>
  <c r="K28" i="2"/>
  <c r="M28" i="2"/>
  <c r="C59" i="21" s="1"/>
  <c r="N28" i="2"/>
  <c r="B59" i="21" s="1"/>
  <c r="D59" i="21" s="1"/>
  <c r="E59" i="21" s="1"/>
  <c r="B27" i="21" s="1"/>
  <c r="J29" i="2"/>
  <c r="K29" i="2"/>
  <c r="M29" i="2"/>
  <c r="C60" i="21" s="1"/>
  <c r="N29" i="2"/>
  <c r="B60" i="21" s="1"/>
  <c r="D60" i="21" s="1"/>
  <c r="E60" i="21" s="1"/>
  <c r="B28" i="21" s="1"/>
  <c r="J30" i="2"/>
  <c r="K30" i="2"/>
  <c r="M30" i="2"/>
  <c r="C63" i="21" s="1"/>
  <c r="N30" i="2"/>
  <c r="B63" i="21" s="1"/>
  <c r="D63" i="21" s="1"/>
  <c r="E63" i="21" s="1"/>
  <c r="B31" i="21" s="1"/>
  <c r="J10" i="2"/>
  <c r="K10" i="2"/>
  <c r="M10" i="2"/>
  <c r="C41" i="21" s="1"/>
  <c r="N10" i="2"/>
  <c r="B41" i="21" s="1"/>
  <c r="D41" i="21" s="1"/>
  <c r="E41" i="21" s="1"/>
  <c r="B9" i="21" s="1"/>
  <c r="J9" i="2"/>
  <c r="K9" i="2"/>
  <c r="M9" i="2"/>
  <c r="C40" i="21" s="1"/>
  <c r="N9" i="2"/>
  <c r="B40" i="21" s="1"/>
  <c r="D40" i="21" s="1"/>
  <c r="E40" i="21" s="1"/>
  <c r="B8" i="21" s="1"/>
  <c r="J8" i="2"/>
  <c r="K8" i="2"/>
  <c r="M8" i="2"/>
  <c r="C39" i="21" s="1"/>
  <c r="N8" i="2"/>
  <c r="B39" i="21" s="1"/>
  <c r="D39" i="21" s="1"/>
  <c r="E39" i="21" s="1"/>
  <c r="B7" i="21" s="1"/>
  <c r="J7" i="2"/>
  <c r="K7" i="2"/>
  <c r="M7" i="2"/>
  <c r="C38" i="21" s="1"/>
  <c r="N7" i="2"/>
  <c r="B38" i="21" s="1"/>
  <c r="D38" i="21" s="1"/>
  <c r="E38" i="21" s="1"/>
  <c r="B6" i="21" s="1"/>
  <c r="J6" i="2"/>
  <c r="K6" i="2"/>
  <c r="M6" i="2"/>
  <c r="C37" i="21" s="1"/>
  <c r="N6" i="2"/>
  <c r="B37" i="21" s="1"/>
  <c r="D37" i="21" s="1"/>
  <c r="E37" i="21" s="1"/>
  <c r="B5" i="21" s="1"/>
  <c r="N5" i="2"/>
  <c r="B36" i="21" s="1"/>
  <c r="M5" i="2"/>
  <c r="C36" i="21" s="1"/>
  <c r="K5" i="2"/>
  <c r="J5" i="2"/>
  <c r="I9" i="4"/>
  <c r="AX46" i="8" l="1"/>
  <c r="N14" i="8" s="1"/>
  <c r="AF14" i="8"/>
  <c r="AJ14" i="8" s="1"/>
  <c r="AX45" i="8"/>
  <c r="N13" i="8" s="1"/>
  <c r="AF13" i="8"/>
  <c r="AJ13" i="8" s="1"/>
  <c r="AX40" i="8"/>
  <c r="N8" i="8" s="1"/>
  <c r="AF8" i="8"/>
  <c r="AJ8" i="8" s="1"/>
  <c r="H47" i="21"/>
  <c r="I47" i="21" s="1"/>
  <c r="C15" i="21" s="1"/>
  <c r="H45" i="21"/>
  <c r="I45" i="21" s="1"/>
  <c r="C13" i="21" s="1"/>
  <c r="L60" i="21"/>
  <c r="M60" i="21" s="1"/>
  <c r="D28" i="21" s="1"/>
  <c r="L58" i="21"/>
  <c r="M58" i="21" s="1"/>
  <c r="D26" i="21" s="1"/>
  <c r="L56" i="21"/>
  <c r="M56" i="21" s="1"/>
  <c r="D24" i="21" s="1"/>
  <c r="L54" i="21"/>
  <c r="M54" i="21" s="1"/>
  <c r="D22" i="21" s="1"/>
  <c r="L52" i="21"/>
  <c r="M52" i="21" s="1"/>
  <c r="D20" i="21" s="1"/>
  <c r="L50" i="21"/>
  <c r="M50" i="21" s="1"/>
  <c r="D18" i="21" s="1"/>
  <c r="L48" i="21"/>
  <c r="M48" i="21" s="1"/>
  <c r="D16" i="21" s="1"/>
  <c r="L46" i="21"/>
  <c r="M46" i="21" s="1"/>
  <c r="D14" i="21" s="1"/>
  <c r="L44" i="21"/>
  <c r="M44" i="21" s="1"/>
  <c r="D12" i="21" s="1"/>
  <c r="L42" i="21"/>
  <c r="M42" i="21" s="1"/>
  <c r="D10" i="21" s="1"/>
  <c r="L40" i="21"/>
  <c r="M40" i="21" s="1"/>
  <c r="D8" i="21" s="1"/>
  <c r="L38" i="21"/>
  <c r="M38" i="21" s="1"/>
  <c r="D6" i="21" s="1"/>
  <c r="C62" i="21"/>
  <c r="C64" i="21" s="1"/>
  <c r="G62" i="21"/>
  <c r="G64" i="21" s="1"/>
  <c r="J62" i="21"/>
  <c r="L36" i="21"/>
  <c r="M36" i="21" s="1"/>
  <c r="D4" i="21" s="1"/>
  <c r="K62" i="21"/>
  <c r="K64" i="21" s="1"/>
  <c r="B62" i="21"/>
  <c r="D36" i="21"/>
  <c r="D62" i="21" s="1"/>
  <c r="D64" i="21" s="1"/>
  <c r="F62" i="21"/>
  <c r="H36" i="21"/>
  <c r="H62" i="21" s="1"/>
  <c r="H64" i="21" s="1"/>
  <c r="L25" i="4"/>
  <c r="U25" i="10" s="1"/>
  <c r="L23" i="4"/>
  <c r="U23" i="10" s="1"/>
  <c r="O18" i="3"/>
  <c r="Y18" i="10" s="1"/>
  <c r="L17" i="3"/>
  <c r="T17" i="10" s="1"/>
  <c r="AC17" i="10" s="1"/>
  <c r="O28" i="3"/>
  <c r="Y28" i="10" s="1"/>
  <c r="L15" i="2"/>
  <c r="L25" i="3"/>
  <c r="T25" i="10" s="1"/>
  <c r="O20" i="3"/>
  <c r="Y20" i="10" s="1"/>
  <c r="O12" i="2"/>
  <c r="X12" i="10" s="1"/>
  <c r="AL12" i="10" s="1"/>
  <c r="L7" i="4"/>
  <c r="U7" i="10" s="1"/>
  <c r="AD7" i="10" s="1"/>
  <c r="O26" i="3"/>
  <c r="Y26" i="10" s="1"/>
  <c r="L20" i="3"/>
  <c r="T20" i="10" s="1"/>
  <c r="O14" i="3"/>
  <c r="Y14" i="10" s="1"/>
  <c r="O25" i="4"/>
  <c r="Z25" i="10" s="1"/>
  <c r="O28" i="2"/>
  <c r="X28" i="10" s="1"/>
  <c r="O20" i="2"/>
  <c r="X20" i="10" s="1"/>
  <c r="L29" i="3"/>
  <c r="T29" i="10" s="1"/>
  <c r="AC29" i="10" s="1"/>
  <c r="O5" i="2"/>
  <c r="X5" i="10" s="1"/>
  <c r="L21" i="3"/>
  <c r="T21" i="10" s="1"/>
  <c r="AC21" i="10" s="1"/>
  <c r="O16" i="3"/>
  <c r="Y16" i="10" s="1"/>
  <c r="L5" i="4"/>
  <c r="U5" i="10" s="1"/>
  <c r="O29" i="4"/>
  <c r="Z29" i="10" s="1"/>
  <c r="L10" i="2"/>
  <c r="L23" i="2"/>
  <c r="S23" i="10" s="1"/>
  <c r="AF23" i="10" s="1"/>
  <c r="L21" i="2"/>
  <c r="S21" i="10" s="1"/>
  <c r="O21" i="3"/>
  <c r="Y21" i="10" s="1"/>
  <c r="O23" i="4"/>
  <c r="Z23" i="10" s="1"/>
  <c r="O19" i="4"/>
  <c r="Z19" i="10" s="1"/>
  <c r="O17" i="4"/>
  <c r="Z17" i="10" s="1"/>
  <c r="O15" i="4"/>
  <c r="Z15" i="10" s="1"/>
  <c r="O13" i="4"/>
  <c r="Z13" i="10" s="1"/>
  <c r="O11" i="4"/>
  <c r="Z11" i="10" s="1"/>
  <c r="O9" i="4"/>
  <c r="Z9" i="10" s="1"/>
  <c r="O8" i="4"/>
  <c r="Z8" i="10" s="1"/>
  <c r="O7" i="3"/>
  <c r="Y7" i="10" s="1"/>
  <c r="O12" i="3"/>
  <c r="Y12" i="10" s="1"/>
  <c r="O30" i="3"/>
  <c r="Y30" i="10" s="1"/>
  <c r="L27" i="3"/>
  <c r="L7" i="3"/>
  <c r="T7" i="10" s="1"/>
  <c r="L12" i="3"/>
  <c r="T12" i="10" s="1"/>
  <c r="O27" i="4"/>
  <c r="Z27" i="10" s="1"/>
  <c r="O8" i="3"/>
  <c r="Y8" i="10" s="1"/>
  <c r="O24" i="3"/>
  <c r="Y24" i="10" s="1"/>
  <c r="O6" i="2"/>
  <c r="X6" i="10" s="1"/>
  <c r="AL6" i="10" s="1"/>
  <c r="O16" i="2"/>
  <c r="X16" i="10" s="1"/>
  <c r="AL16" i="10" s="1"/>
  <c r="L28" i="4"/>
  <c r="U28" i="10" s="1"/>
  <c r="AE28" i="10" s="1"/>
  <c r="O24" i="4"/>
  <c r="Z24" i="10" s="1"/>
  <c r="O16" i="4"/>
  <c r="Z16" i="10" s="1"/>
  <c r="O14" i="4"/>
  <c r="Z14" i="10" s="1"/>
  <c r="O6" i="3"/>
  <c r="Y6" i="10" s="1"/>
  <c r="L28" i="3"/>
  <c r="T28" i="10" s="1"/>
  <c r="O22" i="3"/>
  <c r="Y22" i="10" s="1"/>
  <c r="L19" i="3"/>
  <c r="T19" i="10" s="1"/>
  <c r="O13" i="3"/>
  <c r="Y13" i="10" s="1"/>
  <c r="L11" i="4"/>
  <c r="U11" i="10" s="1"/>
  <c r="L29" i="2"/>
  <c r="S29" i="10" s="1"/>
  <c r="AF29" i="10" s="1"/>
  <c r="O24" i="2"/>
  <c r="X24" i="10" s="1"/>
  <c r="O29" i="3"/>
  <c r="Y29" i="10" s="1"/>
  <c r="O30" i="4"/>
  <c r="Z30" i="10" s="1"/>
  <c r="O7" i="4"/>
  <c r="Z7" i="10" s="1"/>
  <c r="L13" i="2"/>
  <c r="S13" i="10" s="1"/>
  <c r="O30" i="2"/>
  <c r="X30" i="10" s="1"/>
  <c r="L27" i="2"/>
  <c r="L25" i="2"/>
  <c r="S25" i="10" s="1"/>
  <c r="AF25" i="10" s="1"/>
  <c r="O22" i="2"/>
  <c r="X22" i="10" s="1"/>
  <c r="L19" i="2"/>
  <c r="S19" i="10" s="1"/>
  <c r="AF19" i="10" s="1"/>
  <c r="L17" i="2"/>
  <c r="S17" i="10" s="1"/>
  <c r="O14" i="2"/>
  <c r="X14" i="10" s="1"/>
  <c r="AL14" i="10" s="1"/>
  <c r="L11" i="2"/>
  <c r="S11" i="10" s="1"/>
  <c r="L6" i="2"/>
  <c r="S6" i="10" s="1"/>
  <c r="L24" i="2"/>
  <c r="L16" i="2"/>
  <c r="S16" i="10" s="1"/>
  <c r="L9" i="3"/>
  <c r="L21" i="4"/>
  <c r="U21" i="10" s="1"/>
  <c r="L20" i="4"/>
  <c r="U20" i="10" s="1"/>
  <c r="L7" i="2"/>
  <c r="S7" i="10" s="1"/>
  <c r="O26" i="2"/>
  <c r="X26" i="10" s="1"/>
  <c r="O25" i="2"/>
  <c r="X25" i="10" s="1"/>
  <c r="O18" i="2"/>
  <c r="X18" i="10" s="1"/>
  <c r="O17" i="2"/>
  <c r="X17" i="10" s="1"/>
  <c r="AL17" i="10" s="1"/>
  <c r="L5" i="3"/>
  <c r="T5" i="10" s="1"/>
  <c r="L11" i="3"/>
  <c r="T11" i="10" s="1"/>
  <c r="AC11" i="10" s="1"/>
  <c r="L24" i="3"/>
  <c r="L23" i="3"/>
  <c r="T23" i="10" s="1"/>
  <c r="AC23" i="10" s="1"/>
  <c r="L16" i="3"/>
  <c r="T16" i="10" s="1"/>
  <c r="L15" i="3"/>
  <c r="O10" i="3"/>
  <c r="Y10" i="10" s="1"/>
  <c r="AO10" i="10" s="1"/>
  <c r="O25" i="3"/>
  <c r="Y25" i="10" s="1"/>
  <c r="O17" i="3"/>
  <c r="Y17" i="10" s="1"/>
  <c r="O21" i="4"/>
  <c r="Z21" i="10" s="1"/>
  <c r="L10" i="4"/>
  <c r="O27" i="3"/>
  <c r="Y27" i="10" s="1"/>
  <c r="L26" i="3"/>
  <c r="T26" i="10" s="1"/>
  <c r="O19" i="3"/>
  <c r="Y19" i="10" s="1"/>
  <c r="L18" i="3"/>
  <c r="T18" i="10" s="1"/>
  <c r="L13" i="3"/>
  <c r="T13" i="10" s="1"/>
  <c r="AC13" i="10" s="1"/>
  <c r="O28" i="4"/>
  <c r="Z28" i="10" s="1"/>
  <c r="L16" i="4"/>
  <c r="U16" i="10" s="1"/>
  <c r="AD16" i="10" s="1"/>
  <c r="O12" i="4"/>
  <c r="Z12" i="10" s="1"/>
  <c r="L9" i="4"/>
  <c r="O8" i="2"/>
  <c r="X8" i="10" s="1"/>
  <c r="AL8" i="10" s="1"/>
  <c r="O10" i="2"/>
  <c r="X10" i="10" s="1"/>
  <c r="L30" i="2"/>
  <c r="S30" i="10" s="1"/>
  <c r="AF30" i="10" s="1"/>
  <c r="O23" i="2"/>
  <c r="X23" i="10" s="1"/>
  <c r="L22" i="2"/>
  <c r="O15" i="2"/>
  <c r="X15" i="10" s="1"/>
  <c r="AL15" i="10" s="1"/>
  <c r="L14" i="2"/>
  <c r="L10" i="3"/>
  <c r="L30" i="4"/>
  <c r="U30" i="10" s="1"/>
  <c r="O26" i="4"/>
  <c r="Z26" i="10" s="1"/>
  <c r="L14" i="4"/>
  <c r="L12" i="4"/>
  <c r="U12" i="10" s="1"/>
  <c r="AD12" i="10" s="1"/>
  <c r="O10" i="4"/>
  <c r="Z10" i="10" s="1"/>
  <c r="L28" i="2"/>
  <c r="S28" i="10" s="1"/>
  <c r="AF28" i="10" s="1"/>
  <c r="L20" i="2"/>
  <c r="S20" i="10" s="1"/>
  <c r="AF20" i="10" s="1"/>
  <c r="L12" i="2"/>
  <c r="S12" i="10" s="1"/>
  <c r="L26" i="4"/>
  <c r="U26" i="10" s="1"/>
  <c r="AE26" i="10" s="1"/>
  <c r="L19" i="4"/>
  <c r="U19" i="10" s="1"/>
  <c r="L22" i="3"/>
  <c r="L14" i="3"/>
  <c r="O20" i="4"/>
  <c r="Z20" i="10" s="1"/>
  <c r="L17" i="4"/>
  <c r="U17" i="10" s="1"/>
  <c r="L8" i="4"/>
  <c r="U8" i="10" s="1"/>
  <c r="AD8" i="10" s="1"/>
  <c r="O7" i="2"/>
  <c r="X7" i="10" s="1"/>
  <c r="AL7" i="10" s="1"/>
  <c r="O9" i="2"/>
  <c r="X9" i="10" s="1"/>
  <c r="AL9" i="10" s="1"/>
  <c r="O27" i="2"/>
  <c r="X27" i="10" s="1"/>
  <c r="L26" i="2"/>
  <c r="S26" i="10" s="1"/>
  <c r="AF26" i="10" s="1"/>
  <c r="O19" i="2"/>
  <c r="X19" i="10" s="1"/>
  <c r="L18" i="2"/>
  <c r="S18" i="10" s="1"/>
  <c r="AF18" i="10" s="1"/>
  <c r="O11" i="2"/>
  <c r="X11" i="10" s="1"/>
  <c r="AL11" i="10" s="1"/>
  <c r="L6" i="3"/>
  <c r="T6" i="10" s="1"/>
  <c r="AC6" i="10" s="1"/>
  <c r="O11" i="3"/>
  <c r="Y11" i="10" s="1"/>
  <c r="O5" i="4"/>
  <c r="Z5" i="10" s="1"/>
  <c r="L29" i="4"/>
  <c r="U29" i="10" s="1"/>
  <c r="L22" i="4"/>
  <c r="O18" i="4"/>
  <c r="Z18" i="10" s="1"/>
  <c r="L15" i="4"/>
  <c r="L13" i="4"/>
  <c r="U13" i="10" s="1"/>
  <c r="AD13" i="10" s="1"/>
  <c r="L6" i="4"/>
  <c r="U6" i="10" s="1"/>
  <c r="L8" i="2"/>
  <c r="S8" i="10" s="1"/>
  <c r="O29" i="2"/>
  <c r="X29" i="10" s="1"/>
  <c r="O21" i="2"/>
  <c r="X21" i="10" s="1"/>
  <c r="AL21" i="10" s="1"/>
  <c r="O13" i="2"/>
  <c r="X13" i="10" s="1"/>
  <c r="AL13" i="10" s="1"/>
  <c r="O22" i="4"/>
  <c r="Z22" i="10" s="1"/>
  <c r="O6" i="4"/>
  <c r="Z6" i="10" s="1"/>
  <c r="L8" i="3"/>
  <c r="T8" i="10" s="1"/>
  <c r="O9" i="3"/>
  <c r="Y9" i="10" s="1"/>
  <c r="L30" i="3"/>
  <c r="T30" i="10" s="1"/>
  <c r="O23" i="3"/>
  <c r="Y23" i="10" s="1"/>
  <c r="O15" i="3"/>
  <c r="Y15" i="10" s="1"/>
  <c r="L24" i="4"/>
  <c r="L9" i="2"/>
  <c r="O5" i="3"/>
  <c r="Y5" i="10" s="1"/>
  <c r="L27" i="4"/>
  <c r="L18" i="4"/>
  <c r="U18" i="10" s="1"/>
  <c r="R8" i="8" l="1"/>
  <c r="AB8" i="8"/>
  <c r="AB13" i="8"/>
  <c r="R13" i="8"/>
  <c r="AB14" i="8"/>
  <c r="R14" i="8"/>
  <c r="L62" i="21"/>
  <c r="L64" i="21" s="1"/>
  <c r="I36" i="21"/>
  <c r="C4" i="21" s="1"/>
  <c r="AI9" i="10"/>
  <c r="AO9" i="10"/>
  <c r="AP12" i="10"/>
  <c r="AJ12" i="10"/>
  <c r="AK12" i="10"/>
  <c r="AP30" i="10"/>
  <c r="AJ30" i="10"/>
  <c r="AQ30" i="10"/>
  <c r="AK30" i="10"/>
  <c r="AO7" i="10"/>
  <c r="AI7" i="10"/>
  <c r="B64" i="21"/>
  <c r="E64" i="21" s="1"/>
  <c r="B32" i="21" s="1"/>
  <c r="E62" i="21"/>
  <c r="B30" i="21" s="1"/>
  <c r="AO27" i="10"/>
  <c r="AI27" i="10"/>
  <c r="AJ7" i="10"/>
  <c r="AP7" i="10"/>
  <c r="AK7" i="10"/>
  <c r="AO30" i="10"/>
  <c r="AC30" i="10"/>
  <c r="AI16" i="10"/>
  <c r="AO16" i="10"/>
  <c r="AO8" i="10"/>
  <c r="AI8" i="10"/>
  <c r="AO17" i="10"/>
  <c r="AI17" i="10"/>
  <c r="AJ14" i="10"/>
  <c r="AP14" i="10"/>
  <c r="AK14" i="10"/>
  <c r="AD25" i="10"/>
  <c r="AE25" i="10"/>
  <c r="AR19" i="10"/>
  <c r="AL19" i="10"/>
  <c r="AL23" i="10"/>
  <c r="AR23" i="10"/>
  <c r="AO25" i="10"/>
  <c r="AI25" i="10"/>
  <c r="AJ16" i="10"/>
  <c r="AP16" i="10"/>
  <c r="AK16" i="10"/>
  <c r="AP11" i="10"/>
  <c r="AJ11" i="10"/>
  <c r="AK11" i="10"/>
  <c r="AR20" i="10"/>
  <c r="AL20" i="10"/>
  <c r="AP18" i="10"/>
  <c r="AC18" i="10"/>
  <c r="AL18" i="10"/>
  <c r="AR18" i="10"/>
  <c r="AD11" i="10"/>
  <c r="AJ24" i="10"/>
  <c r="AP24" i="10"/>
  <c r="AQ24" i="10"/>
  <c r="AK24" i="10"/>
  <c r="AC7" i="10"/>
  <c r="AP13" i="10"/>
  <c r="AJ13" i="10"/>
  <c r="AK13" i="10"/>
  <c r="AL28" i="10"/>
  <c r="AR28" i="10"/>
  <c r="AC25" i="10"/>
  <c r="J64" i="21"/>
  <c r="M64" i="21" s="1"/>
  <c r="D32" i="21" s="1"/>
  <c r="M62" i="21"/>
  <c r="D30" i="21" s="1"/>
  <c r="AI22" i="10"/>
  <c r="AO22" i="10"/>
  <c r="AJ19" i="10"/>
  <c r="AP19" i="10"/>
  <c r="AQ19" i="10"/>
  <c r="AK19" i="10"/>
  <c r="AP20" i="10"/>
  <c r="AC20" i="10"/>
  <c r="AD18" i="10"/>
  <c r="AE18" i="10"/>
  <c r="AD20" i="10"/>
  <c r="AE20" i="10"/>
  <c r="AI24" i="10"/>
  <c r="AO24" i="10"/>
  <c r="AI26" i="10"/>
  <c r="AO26" i="10"/>
  <c r="AC8" i="10"/>
  <c r="AO6" i="10"/>
  <c r="AI6" i="10"/>
  <c r="AP8" i="10"/>
  <c r="AJ8" i="10"/>
  <c r="AK8" i="10"/>
  <c r="AL5" i="10"/>
  <c r="AE23" i="10"/>
  <c r="AD23" i="10"/>
  <c r="AP6" i="10"/>
  <c r="AJ6" i="10"/>
  <c r="AK6" i="10"/>
  <c r="AJ20" i="10"/>
  <c r="AK20" i="10"/>
  <c r="AQ20" i="10"/>
  <c r="AL24" i="10"/>
  <c r="AR24" i="10"/>
  <c r="AP9" i="10"/>
  <c r="AJ9" i="10"/>
  <c r="AK9" i="10"/>
  <c r="AJ18" i="10"/>
  <c r="AK18" i="10"/>
  <c r="AQ18" i="10"/>
  <c r="AC12" i="10"/>
  <c r="AO15" i="10"/>
  <c r="AI15" i="10"/>
  <c r="AD29" i="10"/>
  <c r="AE29" i="10"/>
  <c r="AL27" i="10"/>
  <c r="AR27" i="10"/>
  <c r="AD19" i="10"/>
  <c r="AE19" i="10"/>
  <c r="AP26" i="10"/>
  <c r="AJ26" i="10"/>
  <c r="AK26" i="10"/>
  <c r="AQ26" i="10"/>
  <c r="AI10" i="10"/>
  <c r="AL10" i="10"/>
  <c r="AR10" i="10"/>
  <c r="AO19" i="10"/>
  <c r="AI19" i="10"/>
  <c r="AL25" i="10"/>
  <c r="AR25" i="10"/>
  <c r="AR30" i="10"/>
  <c r="AL30" i="10"/>
  <c r="AI13" i="10"/>
  <c r="AO13" i="10"/>
  <c r="AP15" i="10"/>
  <c r="AJ15" i="10"/>
  <c r="AK15" i="10"/>
  <c r="AJ29" i="10"/>
  <c r="AP29" i="10"/>
  <c r="AQ29" i="10"/>
  <c r="AK29" i="10"/>
  <c r="AJ25" i="10"/>
  <c r="AP25" i="10"/>
  <c r="AK25" i="10"/>
  <c r="AQ25" i="10"/>
  <c r="F64" i="21"/>
  <c r="I64" i="21" s="1"/>
  <c r="C32" i="21" s="1"/>
  <c r="I62" i="21"/>
  <c r="C30" i="21" s="1"/>
  <c r="AI11" i="10"/>
  <c r="AO11" i="10"/>
  <c r="AO12" i="10"/>
  <c r="AI12" i="10"/>
  <c r="AD6" i="10"/>
  <c r="AD28" i="10"/>
  <c r="AC28" i="10"/>
  <c r="AJ23" i="10"/>
  <c r="AP23" i="10"/>
  <c r="AK23" i="10"/>
  <c r="AQ23" i="10"/>
  <c r="AI18" i="10"/>
  <c r="AO18" i="10"/>
  <c r="AD17" i="10"/>
  <c r="AJ21" i="10"/>
  <c r="AP21" i="10"/>
  <c r="AK21" i="10"/>
  <c r="AD21" i="10"/>
  <c r="AO29" i="10"/>
  <c r="AI29" i="10"/>
  <c r="AO21" i="10"/>
  <c r="AI21" i="10"/>
  <c r="AI5" i="10"/>
  <c r="AJ10" i="10"/>
  <c r="AP10" i="10"/>
  <c r="AQ10" i="10"/>
  <c r="AK10" i="10"/>
  <c r="AP28" i="10"/>
  <c r="AJ28" i="10"/>
  <c r="AK28" i="10"/>
  <c r="AQ28" i="10"/>
  <c r="AR22" i="10"/>
  <c r="AL22" i="10"/>
  <c r="AP27" i="10"/>
  <c r="AJ27" i="10"/>
  <c r="AK27" i="10"/>
  <c r="AQ27" i="10"/>
  <c r="AP22" i="10"/>
  <c r="AJ22" i="10"/>
  <c r="AK22" i="10"/>
  <c r="AQ22" i="10"/>
  <c r="AI20" i="10"/>
  <c r="AO20" i="10"/>
  <c r="AO23" i="10"/>
  <c r="AI23" i="10"/>
  <c r="AL29" i="10"/>
  <c r="AR29" i="10"/>
  <c r="AJ5" i="10"/>
  <c r="AP5" i="10"/>
  <c r="AK5" i="10"/>
  <c r="AQ5" i="10"/>
  <c r="AD30" i="10"/>
  <c r="AE30" i="10"/>
  <c r="AD26" i="10"/>
  <c r="AC26" i="10"/>
  <c r="AC16" i="10"/>
  <c r="AL26" i="10"/>
  <c r="AR26" i="10"/>
  <c r="AC19" i="10"/>
  <c r="AI30" i="10"/>
  <c r="AJ17" i="10"/>
  <c r="AP17" i="10"/>
  <c r="AK17" i="10"/>
  <c r="AD5" i="10"/>
  <c r="AE5" i="10"/>
  <c r="AI14" i="10"/>
  <c r="AO14" i="10"/>
  <c r="AI28" i="10"/>
  <c r="AO28" i="10"/>
  <c r="E36" i="21"/>
  <c r="B4" i="21" s="1"/>
  <c r="G63" i="12"/>
  <c r="F63" i="12"/>
  <c r="P37" i="12" l="1"/>
  <c r="Q37" i="12" s="1"/>
  <c r="G6" i="10" l="1"/>
  <c r="C6" i="10"/>
  <c r="G7" i="10" l="1"/>
  <c r="C7" i="10"/>
  <c r="P38" i="12" l="1"/>
  <c r="Q38" i="12" s="1"/>
  <c r="E6" i="12" s="1"/>
  <c r="P39" i="12"/>
  <c r="P42" i="12"/>
  <c r="P46" i="12"/>
  <c r="Q46" i="12" s="1"/>
  <c r="E14" i="12" s="1"/>
  <c r="P47" i="12"/>
  <c r="P48" i="12"/>
  <c r="Q48" i="12" s="1"/>
  <c r="E16" i="12" s="1"/>
  <c r="P49" i="12"/>
  <c r="P56" i="12"/>
  <c r="Q56" i="12" s="1"/>
  <c r="E24" i="12" s="1"/>
  <c r="P57" i="12"/>
  <c r="P60" i="12"/>
  <c r="Q60" i="12" s="1"/>
  <c r="E28" i="12" s="1"/>
  <c r="K37" i="12"/>
  <c r="D14" i="12"/>
  <c r="K48" i="12"/>
  <c r="K50" i="12"/>
  <c r="K51" i="12"/>
  <c r="K56" i="12"/>
  <c r="K57" i="12"/>
  <c r="K59" i="12"/>
  <c r="K60" i="12"/>
  <c r="G37" i="12"/>
  <c r="G38" i="12"/>
  <c r="G39" i="12"/>
  <c r="G42" i="12"/>
  <c r="G43" i="12"/>
  <c r="G44" i="12"/>
  <c r="G47" i="12"/>
  <c r="G48" i="12"/>
  <c r="G49" i="12"/>
  <c r="G50" i="12"/>
  <c r="G51" i="12"/>
  <c r="G52" i="12"/>
  <c r="G54" i="12"/>
  <c r="G56" i="12"/>
  <c r="G57" i="12"/>
  <c r="G59" i="12"/>
  <c r="G60" i="12"/>
  <c r="F37" i="12"/>
  <c r="F38" i="12"/>
  <c r="F39" i="12"/>
  <c r="F42" i="12"/>
  <c r="F43" i="12"/>
  <c r="F44" i="12"/>
  <c r="F47" i="12"/>
  <c r="F48" i="12"/>
  <c r="F49" i="12"/>
  <c r="F50" i="12"/>
  <c r="F51" i="12"/>
  <c r="F52" i="12"/>
  <c r="F54" i="12"/>
  <c r="F56" i="12"/>
  <c r="F57" i="12"/>
  <c r="F59" i="12"/>
  <c r="F60" i="12"/>
  <c r="P50" i="12"/>
  <c r="Q50" i="12" s="1"/>
  <c r="E18" i="12" s="1"/>
  <c r="P52" i="12"/>
  <c r="Q52" i="12" s="1"/>
  <c r="E20" i="12" s="1"/>
  <c r="G36" i="12"/>
  <c r="F36" i="12"/>
  <c r="C63" i="12"/>
  <c r="C37" i="12"/>
  <c r="C38" i="12"/>
  <c r="C39" i="12"/>
  <c r="C42" i="12"/>
  <c r="C43" i="12"/>
  <c r="C44" i="12"/>
  <c r="C47" i="12"/>
  <c r="C48" i="12"/>
  <c r="C49" i="12"/>
  <c r="C50" i="12"/>
  <c r="C51" i="12"/>
  <c r="C52" i="12"/>
  <c r="C54" i="12"/>
  <c r="C56" i="12"/>
  <c r="C57" i="12"/>
  <c r="C59" i="12"/>
  <c r="C60" i="12"/>
  <c r="C36" i="12"/>
  <c r="B63" i="12"/>
  <c r="B37" i="12"/>
  <c r="B38" i="12"/>
  <c r="B39" i="12"/>
  <c r="B42" i="12"/>
  <c r="B43" i="12"/>
  <c r="B44" i="12"/>
  <c r="B47" i="12"/>
  <c r="B48" i="12"/>
  <c r="B49" i="12"/>
  <c r="B50" i="12"/>
  <c r="B51" i="12"/>
  <c r="B52" i="12"/>
  <c r="B54" i="12"/>
  <c r="B56" i="12"/>
  <c r="B57" i="12"/>
  <c r="B59" i="12"/>
  <c r="B60" i="12"/>
  <c r="B36" i="12"/>
  <c r="J37" i="12"/>
  <c r="K38" i="12"/>
  <c r="J38" i="12"/>
  <c r="K39" i="12"/>
  <c r="J39" i="12"/>
  <c r="K42" i="12"/>
  <c r="J42" i="12"/>
  <c r="K43" i="12"/>
  <c r="J43" i="12"/>
  <c r="K44" i="12"/>
  <c r="J44" i="12"/>
  <c r="K47" i="12"/>
  <c r="J47" i="12"/>
  <c r="J48" i="12"/>
  <c r="K49" i="12"/>
  <c r="J49" i="12"/>
  <c r="J50" i="12"/>
  <c r="J51" i="12"/>
  <c r="K52" i="12"/>
  <c r="J52" i="12"/>
  <c r="K54" i="12"/>
  <c r="J54" i="12"/>
  <c r="J56" i="12"/>
  <c r="J57" i="12"/>
  <c r="J59" i="12"/>
  <c r="J60" i="12"/>
  <c r="K63" i="12"/>
  <c r="J63" i="12"/>
  <c r="J36" i="12"/>
  <c r="K36" i="12"/>
  <c r="C8" i="12"/>
  <c r="C13" i="12"/>
  <c r="C14" i="12"/>
  <c r="B8" i="12"/>
  <c r="B13" i="12"/>
  <c r="B14" i="12"/>
  <c r="K63" i="8"/>
  <c r="K37" i="8"/>
  <c r="K38" i="8"/>
  <c r="K39" i="8"/>
  <c r="K42" i="8"/>
  <c r="K43" i="8"/>
  <c r="K44" i="8"/>
  <c r="K47" i="8"/>
  <c r="K48" i="8"/>
  <c r="K50" i="8"/>
  <c r="K51" i="8"/>
  <c r="K52" i="8"/>
  <c r="K54" i="8"/>
  <c r="K56" i="8"/>
  <c r="K57" i="8"/>
  <c r="K59" i="8"/>
  <c r="K60" i="8"/>
  <c r="K36" i="8"/>
  <c r="H63" i="8"/>
  <c r="H37" i="8"/>
  <c r="H38" i="8"/>
  <c r="H39" i="8"/>
  <c r="H42" i="8"/>
  <c r="H43" i="8"/>
  <c r="H44" i="8"/>
  <c r="H47" i="8"/>
  <c r="H48" i="8"/>
  <c r="H49" i="8"/>
  <c r="H50" i="8"/>
  <c r="H51" i="8"/>
  <c r="H52" i="8"/>
  <c r="H54" i="8"/>
  <c r="H56" i="8"/>
  <c r="H57" i="8"/>
  <c r="H59" i="8"/>
  <c r="H60" i="8"/>
  <c r="H36" i="8"/>
  <c r="E63" i="8"/>
  <c r="E37" i="8"/>
  <c r="E38" i="8"/>
  <c r="E39" i="8"/>
  <c r="E42" i="8"/>
  <c r="E43" i="8"/>
  <c r="E44" i="8"/>
  <c r="E47" i="8"/>
  <c r="E48" i="8"/>
  <c r="E49" i="8"/>
  <c r="E50" i="8"/>
  <c r="E51" i="8"/>
  <c r="E52" i="8"/>
  <c r="E54" i="8"/>
  <c r="E56" i="8"/>
  <c r="E57" i="8"/>
  <c r="E59" i="8"/>
  <c r="E60" i="8"/>
  <c r="E36" i="8"/>
  <c r="B63" i="8"/>
  <c r="B37" i="8"/>
  <c r="B38" i="8"/>
  <c r="B39" i="8"/>
  <c r="B42" i="8"/>
  <c r="B43" i="8"/>
  <c r="B44" i="8"/>
  <c r="B47" i="8"/>
  <c r="B48" i="8"/>
  <c r="B49" i="8"/>
  <c r="B50" i="8"/>
  <c r="B51" i="8"/>
  <c r="B52" i="8"/>
  <c r="B54" i="8"/>
  <c r="B56" i="8"/>
  <c r="B57" i="8"/>
  <c r="B59" i="8"/>
  <c r="B60" i="8"/>
  <c r="B36" i="8"/>
  <c r="AD31" i="8" l="1"/>
  <c r="AH31" i="8" s="1"/>
  <c r="L59" i="12"/>
  <c r="M59" i="12" s="1"/>
  <c r="D27" i="12" s="1"/>
  <c r="H47" i="12"/>
  <c r="I47" i="12" s="1"/>
  <c r="C15" i="12" s="1"/>
  <c r="L63" i="12"/>
  <c r="M63" i="12" s="1"/>
  <c r="D31" i="12" s="1"/>
  <c r="L44" i="12"/>
  <c r="M44" i="12" s="1"/>
  <c r="D12" i="12" s="1"/>
  <c r="L57" i="12"/>
  <c r="M57" i="12" s="1"/>
  <c r="D25" i="12" s="1"/>
  <c r="L47" i="12"/>
  <c r="M47" i="12" s="1"/>
  <c r="D15" i="12" s="1"/>
  <c r="L42" i="12"/>
  <c r="M42" i="12" s="1"/>
  <c r="D10" i="12" s="1"/>
  <c r="H51" i="12"/>
  <c r="I51" i="12" s="1"/>
  <c r="C19" i="12" s="1"/>
  <c r="H39" i="12"/>
  <c r="I39" i="12" s="1"/>
  <c r="C7" i="12" s="1"/>
  <c r="D54" i="12"/>
  <c r="D43" i="12"/>
  <c r="L56" i="12"/>
  <c r="M56" i="12" s="1"/>
  <c r="D24" i="12" s="1"/>
  <c r="D52" i="12"/>
  <c r="D42" i="12"/>
  <c r="L37" i="12"/>
  <c r="M37" i="12" s="1"/>
  <c r="D5" i="12" s="1"/>
  <c r="H56" i="12"/>
  <c r="I56" i="12" s="1"/>
  <c r="C24" i="12" s="1"/>
  <c r="H50" i="12"/>
  <c r="I50" i="12" s="1"/>
  <c r="C18" i="12" s="1"/>
  <c r="H38" i="12"/>
  <c r="I38" i="12" s="1"/>
  <c r="C6" i="12" s="1"/>
  <c r="L54" i="12"/>
  <c r="M54" i="12" s="1"/>
  <c r="D22" i="12" s="1"/>
  <c r="L52" i="12"/>
  <c r="M52" i="12" s="1"/>
  <c r="D20" i="12" s="1"/>
  <c r="L39" i="12"/>
  <c r="M39" i="12" s="1"/>
  <c r="D7" i="12" s="1"/>
  <c r="L51" i="12"/>
  <c r="M51" i="12" s="1"/>
  <c r="D19" i="12" s="1"/>
  <c r="L48" i="12"/>
  <c r="M48" i="12" s="1"/>
  <c r="D16" i="12" s="1"/>
  <c r="K62" i="12"/>
  <c r="K64" i="12" s="1"/>
  <c r="H59" i="12"/>
  <c r="I59" i="12" s="1"/>
  <c r="C27" i="12" s="1"/>
  <c r="H48" i="12"/>
  <c r="I48" i="12" s="1"/>
  <c r="C16" i="12" s="1"/>
  <c r="H52" i="12"/>
  <c r="I52" i="12" s="1"/>
  <c r="C20" i="12" s="1"/>
  <c r="H42" i="12"/>
  <c r="I42" i="12" s="1"/>
  <c r="C10" i="12" s="1"/>
  <c r="H60" i="12"/>
  <c r="I60" i="12" s="1"/>
  <c r="C28" i="12" s="1"/>
  <c r="H49" i="12"/>
  <c r="I49" i="12" s="1"/>
  <c r="C17" i="12" s="1"/>
  <c r="H37" i="12"/>
  <c r="I37" i="12" s="1"/>
  <c r="C5" i="12" s="1"/>
  <c r="H57" i="12"/>
  <c r="I57" i="12" s="1"/>
  <c r="C25" i="12" s="1"/>
  <c r="H54" i="12"/>
  <c r="I54" i="12" s="1"/>
  <c r="C22" i="12" s="1"/>
  <c r="H43" i="12"/>
  <c r="I43" i="12" s="1"/>
  <c r="C11" i="12" s="1"/>
  <c r="D59" i="12"/>
  <c r="D57" i="12"/>
  <c r="D47" i="12"/>
  <c r="D51" i="12"/>
  <c r="D48" i="12"/>
  <c r="D50" i="12"/>
  <c r="D60" i="12"/>
  <c r="D49" i="12"/>
  <c r="D37" i="12"/>
  <c r="E37" i="12" s="1"/>
  <c r="C62" i="12"/>
  <c r="C64" i="12" s="1"/>
  <c r="D56" i="12"/>
  <c r="D44" i="12"/>
  <c r="H44" i="12"/>
  <c r="I44" i="12" s="1"/>
  <c r="C12" i="12" s="1"/>
  <c r="L50" i="12"/>
  <c r="M50" i="12" s="1"/>
  <c r="D18" i="12" s="1"/>
  <c r="J62" i="12"/>
  <c r="J64" i="12" s="1"/>
  <c r="L60" i="12"/>
  <c r="M60" i="12" s="1"/>
  <c r="D28" i="12" s="1"/>
  <c r="L43" i="12"/>
  <c r="M43" i="12" s="1"/>
  <c r="D11" i="12" s="1"/>
  <c r="L38" i="12"/>
  <c r="M38" i="12" s="1"/>
  <c r="D6" i="12" s="1"/>
  <c r="B62" i="12"/>
  <c r="B64" i="12" s="1"/>
  <c r="D36" i="12"/>
  <c r="D38" i="12"/>
  <c r="E38" i="12" s="1"/>
  <c r="L49" i="12"/>
  <c r="M49" i="12" s="1"/>
  <c r="D17" i="12" s="1"/>
  <c r="D39" i="12"/>
  <c r="E39" i="12" s="1"/>
  <c r="G62" i="12"/>
  <c r="G64" i="12" s="1"/>
  <c r="H62" i="8"/>
  <c r="H64" i="8" s="1"/>
  <c r="P44" i="12"/>
  <c r="Q44" i="12" s="1"/>
  <c r="E12" i="12" s="1"/>
  <c r="P54" i="12"/>
  <c r="Q54" i="12" s="1"/>
  <c r="E22" i="12" s="1"/>
  <c r="P45" i="12"/>
  <c r="Q45" i="12" s="1"/>
  <c r="E13" i="12" s="1"/>
  <c r="P43" i="12"/>
  <c r="Q43" i="12" s="1"/>
  <c r="E11" i="12" s="1"/>
  <c r="K62" i="8"/>
  <c r="K64" i="8" s="1"/>
  <c r="AG62" i="12"/>
  <c r="P51" i="12"/>
  <c r="P59" i="12"/>
  <c r="Q59" i="12" s="1"/>
  <c r="E27" i="12" s="1"/>
  <c r="Q42" i="12"/>
  <c r="E10" i="12" s="1"/>
  <c r="F62" i="12"/>
  <c r="F64" i="12" s="1"/>
  <c r="Q57" i="12"/>
  <c r="E25" i="12" s="1"/>
  <c r="Q49" i="12"/>
  <c r="E17" i="12" s="1"/>
  <c r="Q47" i="12"/>
  <c r="E15" i="12" s="1"/>
  <c r="Q39" i="12"/>
  <c r="E7" i="12" s="1"/>
  <c r="E5" i="12"/>
  <c r="D13" i="12"/>
  <c r="L36" i="12"/>
  <c r="H36" i="12"/>
  <c r="I36" i="12" s="1"/>
  <c r="C4" i="12" s="1"/>
  <c r="H63" i="12"/>
  <c r="I63" i="12" s="1"/>
  <c r="C31" i="12" s="1"/>
  <c r="E62" i="8"/>
  <c r="E64" i="8" s="1"/>
  <c r="B62" i="8"/>
  <c r="B64" i="8" s="1"/>
  <c r="CB62" i="12" l="1"/>
  <c r="BV62" i="12"/>
  <c r="AO63" i="8"/>
  <c r="AT62" i="12"/>
  <c r="BP62" i="12"/>
  <c r="BD62" i="12"/>
  <c r="AJ62" i="12"/>
  <c r="BJ62" i="12"/>
  <c r="AG64" i="12"/>
  <c r="D62" i="12"/>
  <c r="Q51" i="12"/>
  <c r="E19" i="12" s="1"/>
  <c r="D8" i="12"/>
  <c r="L62" i="12"/>
  <c r="M36" i="12"/>
  <c r="D4" i="12" s="1"/>
  <c r="H62" i="12"/>
  <c r="CB64" i="12" l="1"/>
  <c r="BV64" i="12"/>
  <c r="AR63" i="8"/>
  <c r="M31" i="8" s="1"/>
  <c r="AE31" i="8"/>
  <c r="AI31" i="8" s="1"/>
  <c r="BP64" i="12"/>
  <c r="BD64" i="12"/>
  <c r="AJ64" i="12"/>
  <c r="BJ64" i="12"/>
  <c r="AT64" i="12"/>
  <c r="E62" i="12"/>
  <c r="B30" i="12" s="1"/>
  <c r="M62" i="12"/>
  <c r="D30" i="12" s="1"/>
  <c r="L64" i="12"/>
  <c r="M64" i="12" s="1"/>
  <c r="D32" i="12" s="1"/>
  <c r="H64" i="12"/>
  <c r="I64" i="12" s="1"/>
  <c r="C32" i="12" s="1"/>
  <c r="I62" i="12"/>
  <c r="C30" i="12" s="1"/>
  <c r="AA31" i="8" l="1"/>
  <c r="Q31" i="8"/>
  <c r="AD56" i="8"/>
  <c r="AD44" i="8"/>
  <c r="AJ44" i="8" s="1"/>
  <c r="AD60" i="8"/>
  <c r="AD54" i="8"/>
  <c r="AD49" i="8"/>
  <c r="AD43" i="8"/>
  <c r="AJ43" i="8" s="1"/>
  <c r="AD37" i="8"/>
  <c r="AD36" i="8"/>
  <c r="AD50" i="8"/>
  <c r="AD38" i="8"/>
  <c r="AJ38" i="8" s="1"/>
  <c r="AD52" i="8"/>
  <c r="AD42" i="8"/>
  <c r="AD57" i="8"/>
  <c r="AD51" i="8"/>
  <c r="AD47" i="8"/>
  <c r="AD39" i="8"/>
  <c r="AD48" i="8"/>
  <c r="AD59" i="8"/>
  <c r="AC30" i="8"/>
  <c r="AD11" i="8" l="1"/>
  <c r="AH11" i="8" s="1"/>
  <c r="AM43" i="8"/>
  <c r="AD12" i="8"/>
  <c r="AH12" i="8" s="1"/>
  <c r="AM44" i="8"/>
  <c r="AD6" i="8"/>
  <c r="AH6" i="8" s="1"/>
  <c r="AM38" i="8"/>
  <c r="AJ50" i="8"/>
  <c r="AJ56" i="8"/>
  <c r="AM56" i="8" s="1"/>
  <c r="AJ60" i="8"/>
  <c r="AM60" i="8" s="1"/>
  <c r="AJ49" i="8"/>
  <c r="AJ57" i="8"/>
  <c r="AJ39" i="8"/>
  <c r="AJ54" i="8"/>
  <c r="AJ47" i="8"/>
  <c r="AJ59" i="8"/>
  <c r="AC32" i="8"/>
  <c r="AJ48" i="8"/>
  <c r="AJ51" i="8"/>
  <c r="AJ42" i="8"/>
  <c r="AJ52" i="8"/>
  <c r="AJ37" i="8"/>
  <c r="AJ36" i="8"/>
  <c r="AP56" i="8" l="1"/>
  <c r="AO56" i="8"/>
  <c r="AP38" i="8"/>
  <c r="AO38" i="8"/>
  <c r="AP44" i="8"/>
  <c r="AO44" i="8"/>
  <c r="AP43" i="8"/>
  <c r="AO43" i="8"/>
  <c r="AP60" i="8"/>
  <c r="AO60" i="8"/>
  <c r="AD4" i="8"/>
  <c r="AH4" i="8" s="1"/>
  <c r="AM36" i="8"/>
  <c r="AO36" i="8" s="1"/>
  <c r="AD20" i="8"/>
  <c r="AH20" i="8" s="1"/>
  <c r="AM52" i="8"/>
  <c r="AD27" i="8"/>
  <c r="AH27" i="8" s="1"/>
  <c r="AM59" i="8"/>
  <c r="AD5" i="8"/>
  <c r="AH5" i="8" s="1"/>
  <c r="AM37" i="8"/>
  <c r="AD22" i="8"/>
  <c r="AH22" i="8" s="1"/>
  <c r="AM54" i="8"/>
  <c r="AD7" i="8"/>
  <c r="AH7" i="8" s="1"/>
  <c r="AM39" i="8"/>
  <c r="AD18" i="8"/>
  <c r="AH18" i="8" s="1"/>
  <c r="AM50" i="8"/>
  <c r="AD15" i="8"/>
  <c r="AH15" i="8" s="1"/>
  <c r="AM47" i="8"/>
  <c r="AD10" i="8"/>
  <c r="AH10" i="8" s="1"/>
  <c r="AM42" i="8"/>
  <c r="AD19" i="8"/>
  <c r="AH19" i="8" s="1"/>
  <c r="AM51" i="8"/>
  <c r="AD25" i="8"/>
  <c r="AH25" i="8" s="1"/>
  <c r="AM57" i="8"/>
  <c r="AD17" i="8"/>
  <c r="AH17" i="8" s="1"/>
  <c r="AM49" i="8"/>
  <c r="AD16" i="8"/>
  <c r="AH16" i="8" s="1"/>
  <c r="AM48" i="8"/>
  <c r="AD28" i="8"/>
  <c r="AH28" i="8" s="1"/>
  <c r="AD24" i="8"/>
  <c r="AH24" i="8" s="1"/>
  <c r="AR43" i="8" l="1"/>
  <c r="M11" i="8" s="1"/>
  <c r="AS43" i="8"/>
  <c r="AE11" i="8"/>
  <c r="AI11" i="8" s="1"/>
  <c r="AR44" i="8"/>
  <c r="M12" i="8" s="1"/>
  <c r="AS44" i="8"/>
  <c r="AE12" i="8"/>
  <c r="AI12" i="8" s="1"/>
  <c r="AR38" i="8"/>
  <c r="M6" i="8" s="1"/>
  <c r="AS38" i="8"/>
  <c r="AE6" i="8"/>
  <c r="AI6" i="8" s="1"/>
  <c r="AR60" i="8"/>
  <c r="M28" i="8" s="1"/>
  <c r="Q28" i="8" s="1"/>
  <c r="AS60" i="8"/>
  <c r="AE28" i="8"/>
  <c r="AI28" i="8" s="1"/>
  <c r="AR56" i="8"/>
  <c r="M24" i="8" s="1"/>
  <c r="AS56" i="8"/>
  <c r="AE24" i="8"/>
  <c r="AI24" i="8" s="1"/>
  <c r="AA28" i="8"/>
  <c r="AP47" i="8"/>
  <c r="AO47" i="8"/>
  <c r="AP57" i="8"/>
  <c r="AO57" i="8"/>
  <c r="AP50" i="8"/>
  <c r="AO50" i="8"/>
  <c r="AP59" i="8"/>
  <c r="AO59" i="8"/>
  <c r="AP51" i="8"/>
  <c r="AO51" i="8"/>
  <c r="AP52" i="8"/>
  <c r="AO52" i="8"/>
  <c r="AP48" i="8"/>
  <c r="AO48" i="8"/>
  <c r="AP42" i="8"/>
  <c r="AO42" i="8"/>
  <c r="AP54" i="8"/>
  <c r="AO54" i="8"/>
  <c r="AP39" i="8"/>
  <c r="AO39" i="8"/>
  <c r="AP49" i="8"/>
  <c r="AO49" i="8"/>
  <c r="AP37" i="8"/>
  <c r="AO37" i="8"/>
  <c r="AP36" i="8"/>
  <c r="AD32" i="8"/>
  <c r="AD30" i="8"/>
  <c r="AR42" i="8" l="1"/>
  <c r="M10" i="8" s="1"/>
  <c r="AS42" i="8"/>
  <c r="AE10" i="8"/>
  <c r="AI10" i="8" s="1"/>
  <c r="AV38" i="8"/>
  <c r="AU38" i="8"/>
  <c r="AR49" i="8"/>
  <c r="M17" i="8" s="1"/>
  <c r="AS49" i="8"/>
  <c r="AE17" i="8"/>
  <c r="AI17" i="8" s="1"/>
  <c r="AR59" i="8"/>
  <c r="M27" i="8" s="1"/>
  <c r="AS59" i="8"/>
  <c r="AE27" i="8"/>
  <c r="AI27" i="8" s="1"/>
  <c r="AR48" i="8"/>
  <c r="M16" i="8" s="1"/>
  <c r="AS48" i="8"/>
  <c r="AE16" i="8"/>
  <c r="AI16" i="8" s="1"/>
  <c r="AV56" i="8"/>
  <c r="AU56" i="8"/>
  <c r="Q12" i="8"/>
  <c r="AA12" i="8"/>
  <c r="AR37" i="8"/>
  <c r="M5" i="8" s="1"/>
  <c r="AS37" i="8"/>
  <c r="AE5" i="8"/>
  <c r="AI5" i="8" s="1"/>
  <c r="AV44" i="8"/>
  <c r="AU44" i="8"/>
  <c r="AR52" i="8"/>
  <c r="M20" i="8" s="1"/>
  <c r="AS52" i="8"/>
  <c r="AE20" i="8"/>
  <c r="AI20" i="8" s="1"/>
  <c r="AV60" i="8"/>
  <c r="AU60" i="8"/>
  <c r="AS36" i="8"/>
  <c r="AE4" i="8"/>
  <c r="AI4" i="8" s="1"/>
  <c r="AR54" i="8"/>
  <c r="M22" i="8" s="1"/>
  <c r="AS54" i="8"/>
  <c r="AE22" i="8"/>
  <c r="AI22" i="8" s="1"/>
  <c r="AR51" i="8"/>
  <c r="M19" i="8" s="1"/>
  <c r="AS51" i="8"/>
  <c r="AE19" i="8"/>
  <c r="AI19" i="8" s="1"/>
  <c r="AR47" i="8"/>
  <c r="M15" i="8" s="1"/>
  <c r="AS47" i="8"/>
  <c r="AE15" i="8"/>
  <c r="AI15" i="8" s="1"/>
  <c r="AV43" i="8"/>
  <c r="AU43" i="8"/>
  <c r="Q6" i="8"/>
  <c r="AA6" i="8"/>
  <c r="AR50" i="8"/>
  <c r="M18" i="8" s="1"/>
  <c r="AS50" i="8"/>
  <c r="AE18" i="8"/>
  <c r="AI18" i="8" s="1"/>
  <c r="Q24" i="8"/>
  <c r="AA24" i="8"/>
  <c r="AR39" i="8"/>
  <c r="M7" i="8" s="1"/>
  <c r="AS39" i="8"/>
  <c r="AE7" i="8"/>
  <c r="AI7" i="8" s="1"/>
  <c r="AR57" i="8"/>
  <c r="M25" i="8" s="1"/>
  <c r="AS57" i="8"/>
  <c r="AE25" i="8"/>
  <c r="AI25" i="8" s="1"/>
  <c r="AA11" i="8"/>
  <c r="Q11" i="8"/>
  <c r="AO64" i="8"/>
  <c r="AO62" i="8"/>
  <c r="AE30" i="8"/>
  <c r="AI30" i="8" s="1"/>
  <c r="AR36" i="8"/>
  <c r="M4" i="8" s="1"/>
  <c r="E3" i="11"/>
  <c r="D4" i="11"/>
  <c r="D6" i="11"/>
  <c r="D3" i="11"/>
  <c r="C4" i="11"/>
  <c r="C6" i="11"/>
  <c r="C3" i="11"/>
  <c r="B4" i="11"/>
  <c r="B6" i="11"/>
  <c r="B3" i="11"/>
  <c r="AX38" i="8" l="1"/>
  <c r="N6" i="8" s="1"/>
  <c r="AF6" i="8"/>
  <c r="AJ6" i="8" s="1"/>
  <c r="AX60" i="8"/>
  <c r="N28" i="8" s="1"/>
  <c r="AF28" i="8"/>
  <c r="AJ28" i="8" s="1"/>
  <c r="AX56" i="8"/>
  <c r="N24" i="8" s="1"/>
  <c r="AF24" i="8"/>
  <c r="AJ24" i="8" s="1"/>
  <c r="AX44" i="8"/>
  <c r="N12" i="8" s="1"/>
  <c r="AF12" i="8"/>
  <c r="AJ12" i="8" s="1"/>
  <c r="AX43" i="8"/>
  <c r="N11" i="8" s="1"/>
  <c r="AF11" i="8"/>
  <c r="AJ11" i="8" s="1"/>
  <c r="Q17" i="8"/>
  <c r="AA17" i="8"/>
  <c r="AV49" i="8"/>
  <c r="AU49" i="8"/>
  <c r="AV57" i="8"/>
  <c r="AU57" i="8"/>
  <c r="AV36" i="8"/>
  <c r="AU36" i="8"/>
  <c r="AA18" i="8"/>
  <c r="Q18" i="8"/>
  <c r="AV37" i="8"/>
  <c r="AU37" i="8"/>
  <c r="Q16" i="8"/>
  <c r="AA16" i="8"/>
  <c r="AV54" i="8"/>
  <c r="AU54" i="8"/>
  <c r="AV47" i="8"/>
  <c r="AU47" i="8"/>
  <c r="Q25" i="8"/>
  <c r="AA25" i="8"/>
  <c r="AV51" i="8"/>
  <c r="AU51" i="8"/>
  <c r="Q5" i="8"/>
  <c r="AA5" i="8"/>
  <c r="AA20" i="8"/>
  <c r="Q20" i="8"/>
  <c r="Q15" i="8"/>
  <c r="AA15" i="8"/>
  <c r="AV39" i="8"/>
  <c r="AU39" i="8"/>
  <c r="AA19" i="8"/>
  <c r="Q19" i="8"/>
  <c r="AV59" i="8"/>
  <c r="AU59" i="8"/>
  <c r="AV42" i="8"/>
  <c r="AU42" i="8"/>
  <c r="Q22" i="8"/>
  <c r="AA22" i="8"/>
  <c r="AV50" i="8"/>
  <c r="AU50" i="8"/>
  <c r="AV48" i="8"/>
  <c r="AU48" i="8"/>
  <c r="Q4" i="8"/>
  <c r="AA4" i="8"/>
  <c r="Q7" i="8"/>
  <c r="AA7" i="8"/>
  <c r="AV52" i="8"/>
  <c r="AU52" i="8"/>
  <c r="Q27" i="8"/>
  <c r="AA27" i="8"/>
  <c r="AA10" i="8"/>
  <c r="Q10" i="8"/>
  <c r="AR62" i="8"/>
  <c r="M30" i="8" s="1"/>
  <c r="M11" i="11"/>
  <c r="N11" i="11" s="1"/>
  <c r="M12" i="11"/>
  <c r="N12" i="11" s="1"/>
  <c r="M13" i="11"/>
  <c r="N13" i="11" s="1"/>
  <c r="M10" i="11"/>
  <c r="N10" i="11" s="1"/>
  <c r="E18" i="11"/>
  <c r="E7" i="11" s="1"/>
  <c r="D18" i="11"/>
  <c r="D7" i="11" s="1"/>
  <c r="C18" i="11"/>
  <c r="C7" i="11" s="1"/>
  <c r="B18" i="11"/>
  <c r="B7" i="11" s="1"/>
  <c r="AB12" i="8" l="1"/>
  <c r="R12" i="8"/>
  <c r="AB24" i="8"/>
  <c r="R24" i="8"/>
  <c r="R28" i="8"/>
  <c r="AB28" i="8"/>
  <c r="AB11" i="8"/>
  <c r="R11" i="8"/>
  <c r="R6" i="8"/>
  <c r="AB6" i="8"/>
  <c r="AX39" i="8"/>
  <c r="N7" i="8" s="1"/>
  <c r="AF7" i="8"/>
  <c r="AJ7" i="8" s="1"/>
  <c r="AX51" i="8"/>
  <c r="N19" i="8" s="1"/>
  <c r="AF19" i="8"/>
  <c r="AJ19" i="8" s="1"/>
  <c r="AX57" i="8"/>
  <c r="N25" i="8" s="1"/>
  <c r="AF25" i="8"/>
  <c r="AJ25" i="8" s="1"/>
  <c r="AX37" i="8"/>
  <c r="N5" i="8" s="1"/>
  <c r="AF5" i="8"/>
  <c r="AJ5" i="8" s="1"/>
  <c r="AX48" i="8"/>
  <c r="N16" i="8" s="1"/>
  <c r="AF16" i="8"/>
  <c r="AJ16" i="8" s="1"/>
  <c r="AX59" i="8"/>
  <c r="N27" i="8" s="1"/>
  <c r="AF27" i="8"/>
  <c r="AJ27" i="8" s="1"/>
  <c r="AX47" i="8"/>
  <c r="N15" i="8" s="1"/>
  <c r="AF15" i="8"/>
  <c r="AJ15" i="8" s="1"/>
  <c r="AX42" i="8"/>
  <c r="N10" i="8" s="1"/>
  <c r="AF10" i="8"/>
  <c r="AJ10" i="8" s="1"/>
  <c r="AX49" i="8"/>
  <c r="N17" i="8" s="1"/>
  <c r="AF17" i="8"/>
  <c r="AJ17" i="8" s="1"/>
  <c r="AX52" i="8"/>
  <c r="N20" i="8" s="1"/>
  <c r="AF20" i="8"/>
  <c r="AJ20" i="8" s="1"/>
  <c r="AX50" i="8"/>
  <c r="N18" i="8" s="1"/>
  <c r="AF18" i="8"/>
  <c r="AJ18" i="8" s="1"/>
  <c r="AX54" i="8"/>
  <c r="N22" i="8" s="1"/>
  <c r="AF22" i="8"/>
  <c r="AJ22" i="8" s="1"/>
  <c r="AX36" i="8"/>
  <c r="N4" i="8" s="1"/>
  <c r="AF4" i="8"/>
  <c r="AJ4" i="8" s="1"/>
  <c r="AA30" i="8"/>
  <c r="Q30" i="8"/>
  <c r="AR64" i="8"/>
  <c r="M32" i="8" s="1"/>
  <c r="AE32" i="8"/>
  <c r="AI32" i="8" s="1"/>
  <c r="P13" i="11"/>
  <c r="L6" i="11" s="1"/>
  <c r="P12" i="11"/>
  <c r="L5" i="11" s="1"/>
  <c r="P10" i="11"/>
  <c r="L3" i="11" s="1"/>
  <c r="P11" i="11"/>
  <c r="L4" i="11" s="1"/>
  <c r="N18" i="11"/>
  <c r="M18" i="11"/>
  <c r="L18" i="11"/>
  <c r="R25" i="8" l="1"/>
  <c r="AB25" i="8"/>
  <c r="AB19" i="8"/>
  <c r="R19" i="8"/>
  <c r="R18" i="8"/>
  <c r="AB18" i="8"/>
  <c r="AB15" i="8"/>
  <c r="R15" i="8"/>
  <c r="AB27" i="8"/>
  <c r="R27" i="8"/>
  <c r="R17" i="8"/>
  <c r="AB17" i="8"/>
  <c r="R16" i="8"/>
  <c r="AB16" i="8"/>
  <c r="AB7" i="8"/>
  <c r="R7" i="8"/>
  <c r="R20" i="8"/>
  <c r="AB20" i="8"/>
  <c r="AB4" i="8"/>
  <c r="R4" i="8"/>
  <c r="R22" i="8"/>
  <c r="AB22" i="8"/>
  <c r="R10" i="8"/>
  <c r="AB10" i="8"/>
  <c r="R5" i="8"/>
  <c r="AB5" i="8"/>
  <c r="AA32" i="8"/>
  <c r="Q32" i="8"/>
  <c r="AM35" i="12"/>
  <c r="AW35" i="12" s="1"/>
  <c r="AN35" i="12"/>
  <c r="AX35" i="12" s="1"/>
  <c r="AL35" i="12"/>
  <c r="AI35" i="12"/>
  <c r="AS35" i="12" l="1"/>
  <c r="AV35" i="12"/>
  <c r="BH35" i="12"/>
  <c r="BG35" i="12"/>
  <c r="D63" i="12"/>
  <c r="E60" i="12"/>
  <c r="B28" i="12" s="1"/>
  <c r="E59" i="12"/>
  <c r="B27" i="12" s="1"/>
  <c r="E57" i="12"/>
  <c r="B25" i="12" s="1"/>
  <c r="E56" i="12"/>
  <c r="B24" i="12" s="1"/>
  <c r="E54" i="12"/>
  <c r="B22" i="12" s="1"/>
  <c r="E52" i="12"/>
  <c r="B20" i="12" s="1"/>
  <c r="E51" i="12"/>
  <c r="B19" i="12" s="1"/>
  <c r="E50" i="12"/>
  <c r="B18" i="12" s="1"/>
  <c r="E49" i="12"/>
  <c r="B17" i="12" s="1"/>
  <c r="E48" i="12"/>
  <c r="B16" i="12" s="1"/>
  <c r="E43" i="12"/>
  <c r="B11" i="12" s="1"/>
  <c r="E42" i="12"/>
  <c r="B10" i="12" s="1"/>
  <c r="B7" i="12"/>
  <c r="B6" i="12"/>
  <c r="B5" i="12"/>
  <c r="E36" i="12"/>
  <c r="B4" i="12" s="1"/>
  <c r="E44" i="12"/>
  <c r="B12" i="12" s="1"/>
  <c r="E47" i="12"/>
  <c r="B15" i="12" s="1"/>
  <c r="AX56" i="12" l="1"/>
  <c r="AX54" i="12"/>
  <c r="AX37" i="12"/>
  <c r="AX57" i="12"/>
  <c r="AX38" i="12"/>
  <c r="AX60" i="12"/>
  <c r="AX59" i="12"/>
  <c r="AD7" i="12"/>
  <c r="AH7" i="12" s="1"/>
  <c r="AD28" i="12"/>
  <c r="AH28" i="12" s="1"/>
  <c r="AD27" i="12"/>
  <c r="AH27" i="12" s="1"/>
  <c r="AD25" i="12"/>
  <c r="AH25" i="12" s="1"/>
  <c r="AD24" i="12"/>
  <c r="AH24" i="12" s="1"/>
  <c r="AD5" i="12"/>
  <c r="AH5" i="12" s="1"/>
  <c r="E63" i="12"/>
  <c r="B31" i="12" s="1"/>
  <c r="D64" i="12"/>
  <c r="E64" i="12" s="1"/>
  <c r="B32" i="12" s="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C8" i="10"/>
  <c r="C9" i="10"/>
  <c r="C11" i="10"/>
  <c r="C12" i="10"/>
  <c r="C13" i="10"/>
  <c r="C14" i="10"/>
  <c r="C15" i="10"/>
  <c r="C16" i="10"/>
  <c r="C17" i="10"/>
  <c r="C18" i="10"/>
  <c r="C19" i="10"/>
  <c r="C20" i="10"/>
  <c r="C21" i="10"/>
  <c r="C23" i="10"/>
  <c r="C25" i="10"/>
  <c r="C26" i="10"/>
  <c r="C28" i="10"/>
  <c r="C29" i="10"/>
  <c r="C30" i="10"/>
  <c r="AX49" i="12" l="1"/>
  <c r="AX45" i="12"/>
  <c r="AX39" i="12"/>
  <c r="AX44" i="12"/>
  <c r="AX46" i="12"/>
  <c r="AX47" i="12"/>
  <c r="AX50" i="12"/>
  <c r="AX48" i="12"/>
  <c r="AX42" i="12"/>
  <c r="AX52" i="12"/>
  <c r="AX43" i="12"/>
  <c r="AX40" i="12"/>
  <c r="AX51" i="12"/>
  <c r="BH57" i="12"/>
  <c r="L25" i="12" s="1"/>
  <c r="P25" i="12" s="1"/>
  <c r="K12" i="12"/>
  <c r="Y12" i="12" s="1"/>
  <c r="K22" i="12"/>
  <c r="O22" i="12" s="1"/>
  <c r="K11" i="12"/>
  <c r="O11" i="12" s="1"/>
  <c r="K27" i="12"/>
  <c r="O27" i="12" s="1"/>
  <c r="K6" i="12"/>
  <c r="O6" i="12" s="1"/>
  <c r="K14" i="12"/>
  <c r="O14" i="12" s="1"/>
  <c r="K19" i="12"/>
  <c r="O19" i="12" s="1"/>
  <c r="K16" i="12"/>
  <c r="Y16" i="12" s="1"/>
  <c r="K18" i="12"/>
  <c r="O18" i="12" s="1"/>
  <c r="K15" i="12"/>
  <c r="O15" i="12" s="1"/>
  <c r="K24" i="12"/>
  <c r="O24" i="12" s="1"/>
  <c r="K5" i="12"/>
  <c r="O5" i="12" s="1"/>
  <c r="K7" i="12"/>
  <c r="O7" i="12" s="1"/>
  <c r="K10" i="12"/>
  <c r="O10" i="12" s="1"/>
  <c r="K17" i="12"/>
  <c r="O17" i="12" s="1"/>
  <c r="K20" i="12"/>
  <c r="Y20" i="12" s="1"/>
  <c r="K13" i="12"/>
  <c r="O13" i="12" s="1"/>
  <c r="K28" i="12"/>
  <c r="O28" i="12" s="1"/>
  <c r="K25" i="12"/>
  <c r="O25" i="12" s="1"/>
  <c r="BH59" i="12"/>
  <c r="L27" i="12" s="1"/>
  <c r="P27" i="12" s="1"/>
  <c r="BH60" i="12"/>
  <c r="L28" i="12" s="1"/>
  <c r="P28" i="12" s="1"/>
  <c r="BH56" i="12"/>
  <c r="L24" i="12" s="1"/>
  <c r="Z24" i="12" s="1"/>
  <c r="AD10" i="12"/>
  <c r="AH10" i="12" s="1"/>
  <c r="AD17" i="12"/>
  <c r="AH17" i="12" s="1"/>
  <c r="AD12" i="12"/>
  <c r="AH12" i="12" s="1"/>
  <c r="AD14" i="12"/>
  <c r="AH14" i="12" s="1"/>
  <c r="AD18" i="12"/>
  <c r="AH18" i="12" s="1"/>
  <c r="AD20" i="12"/>
  <c r="AH20" i="12" s="1"/>
  <c r="AD11" i="12"/>
  <c r="AH11" i="12" s="1"/>
  <c r="AD19" i="12"/>
  <c r="AH19" i="12" s="1"/>
  <c r="AD15" i="12"/>
  <c r="AH15" i="12" s="1"/>
  <c r="AD13" i="12"/>
  <c r="AH13" i="12" s="1"/>
  <c r="BH37" i="12"/>
  <c r="L5" i="12" s="1"/>
  <c r="E20" i="10"/>
  <c r="E21" i="10"/>
  <c r="E19" i="10"/>
  <c r="E11" i="10"/>
  <c r="BH39" i="12"/>
  <c r="L7" i="12" s="1"/>
  <c r="AD6" i="12"/>
  <c r="AH6" i="12" s="1"/>
  <c r="AD22" i="12"/>
  <c r="AH22" i="12" s="1"/>
  <c r="Y10" i="12" l="1"/>
  <c r="O12" i="12"/>
  <c r="Y22" i="12"/>
  <c r="Y13" i="12"/>
  <c r="Y18" i="12"/>
  <c r="Y27" i="12"/>
  <c r="Y5" i="12"/>
  <c r="Y14" i="12"/>
  <c r="Y11" i="12"/>
  <c r="Y25" i="12"/>
  <c r="Y15" i="12"/>
  <c r="Y24" i="12"/>
  <c r="Z25" i="12"/>
  <c r="Y28" i="12"/>
  <c r="Y17" i="12"/>
  <c r="O20" i="12"/>
  <c r="O16" i="12"/>
  <c r="Y19" i="12"/>
  <c r="Y6" i="12"/>
  <c r="Y7" i="12"/>
  <c r="Z27" i="12"/>
  <c r="Z28" i="12"/>
  <c r="BH43" i="12"/>
  <c r="L11" i="12" s="1"/>
  <c r="Z11" i="12" s="1"/>
  <c r="P24" i="12"/>
  <c r="BH49" i="12"/>
  <c r="L17" i="12" s="1"/>
  <c r="P17" i="12" s="1"/>
  <c r="BH42" i="12"/>
  <c r="L10" i="12" s="1"/>
  <c r="Z10" i="12" s="1"/>
  <c r="BH51" i="12"/>
  <c r="L19" i="12" s="1"/>
  <c r="Z19" i="12" s="1"/>
  <c r="BH46" i="12"/>
  <c r="L14" i="12" s="1"/>
  <c r="Z14" i="12" s="1"/>
  <c r="BH52" i="12"/>
  <c r="L20" i="12" s="1"/>
  <c r="Z20" i="12" s="1"/>
  <c r="BH47" i="12"/>
  <c r="L15" i="12" s="1"/>
  <c r="P15" i="12" s="1"/>
  <c r="P7" i="12"/>
  <c r="Z7" i="12"/>
  <c r="P5" i="12"/>
  <c r="Z5" i="12"/>
  <c r="BH45" i="12"/>
  <c r="L13" i="12" s="1"/>
  <c r="BH50" i="12"/>
  <c r="L18" i="12" s="1"/>
  <c r="BH44" i="12"/>
  <c r="L12" i="12" s="1"/>
  <c r="AD16" i="12"/>
  <c r="AH16" i="12" s="1"/>
  <c r="BH38" i="12"/>
  <c r="L6" i="12" s="1"/>
  <c r="BH54" i="12"/>
  <c r="L22" i="12" s="1"/>
  <c r="P14" i="12" l="1"/>
  <c r="P11" i="12"/>
  <c r="P20" i="12"/>
  <c r="P10" i="12"/>
  <c r="Z17" i="12"/>
  <c r="P19" i="12"/>
  <c r="Z15" i="12"/>
  <c r="BH48" i="12"/>
  <c r="L16" i="12" s="1"/>
  <c r="Z16" i="12" s="1"/>
  <c r="P22" i="12"/>
  <c r="Z22" i="12"/>
  <c r="P6" i="12"/>
  <c r="Z6" i="12"/>
  <c r="P12" i="12"/>
  <c r="Z12" i="12"/>
  <c r="P18" i="12"/>
  <c r="Z18" i="12"/>
  <c r="P13" i="12"/>
  <c r="Z13" i="12"/>
  <c r="P16" i="12" l="1"/>
  <c r="O31" i="2" l="1"/>
  <c r="N31" i="2"/>
  <c r="M31" i="2"/>
  <c r="K31" i="2"/>
  <c r="J31" i="2"/>
  <c r="H31" i="2"/>
  <c r="G31" i="2"/>
  <c r="F31" i="2"/>
  <c r="D31" i="2"/>
  <c r="C31" i="2"/>
  <c r="B31" i="2"/>
  <c r="O31" i="3"/>
  <c r="N31" i="3"/>
  <c r="M31" i="3"/>
  <c r="L31" i="3"/>
  <c r="K31" i="3"/>
  <c r="J31" i="3"/>
  <c r="H31" i="3"/>
  <c r="G31" i="3"/>
  <c r="F31" i="3"/>
  <c r="D31" i="3"/>
  <c r="C31" i="3"/>
  <c r="B31" i="3"/>
  <c r="H31" i="4"/>
  <c r="O31" i="4" s="1"/>
  <c r="G31" i="4"/>
  <c r="F31" i="4"/>
  <c r="M31" i="4" s="1"/>
  <c r="B31" i="4"/>
  <c r="J31" i="4" s="1"/>
  <c r="D31" i="4"/>
  <c r="L31" i="4" s="1"/>
  <c r="C31" i="4"/>
  <c r="K31" i="4" s="1"/>
  <c r="I30" i="4"/>
  <c r="E30" i="4"/>
  <c r="I29" i="4"/>
  <c r="E29" i="4"/>
  <c r="I28" i="4"/>
  <c r="E28" i="4"/>
  <c r="I27" i="4"/>
  <c r="I26" i="4"/>
  <c r="E26" i="4"/>
  <c r="I25" i="4"/>
  <c r="E25" i="4"/>
  <c r="I24" i="4"/>
  <c r="I23" i="4"/>
  <c r="E23" i="4"/>
  <c r="I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I14" i="4"/>
  <c r="I13" i="4"/>
  <c r="E13" i="4"/>
  <c r="I12" i="4"/>
  <c r="E12" i="4"/>
  <c r="I11" i="4"/>
  <c r="E11" i="4"/>
  <c r="I10" i="4"/>
  <c r="I8" i="4"/>
  <c r="E8" i="4"/>
  <c r="I7" i="4"/>
  <c r="E7" i="4"/>
  <c r="I6" i="4"/>
  <c r="E6" i="4"/>
  <c r="I5" i="4"/>
  <c r="E5" i="4"/>
  <c r="I30" i="3"/>
  <c r="E30" i="3"/>
  <c r="I29" i="3"/>
  <c r="E29" i="3"/>
  <c r="I28" i="3"/>
  <c r="E28" i="3"/>
  <c r="I27" i="3"/>
  <c r="I26" i="3"/>
  <c r="E26" i="3"/>
  <c r="I25" i="3"/>
  <c r="E25" i="3"/>
  <c r="I24" i="3"/>
  <c r="I23" i="3"/>
  <c r="E23" i="3"/>
  <c r="I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I14" i="3"/>
  <c r="I13" i="3"/>
  <c r="E13" i="3"/>
  <c r="I12" i="3"/>
  <c r="E12" i="3"/>
  <c r="I11" i="3"/>
  <c r="E11" i="3"/>
  <c r="I10" i="3"/>
  <c r="I9" i="3"/>
  <c r="I8" i="3"/>
  <c r="E8" i="3"/>
  <c r="I7" i="3"/>
  <c r="E7" i="3"/>
  <c r="I6" i="3"/>
  <c r="E6" i="3"/>
  <c r="I5" i="3"/>
  <c r="E5" i="3"/>
  <c r="I30" i="2"/>
  <c r="E30" i="2"/>
  <c r="I29" i="2"/>
  <c r="E29" i="2"/>
  <c r="I28" i="2"/>
  <c r="E28" i="2"/>
  <c r="I27" i="2"/>
  <c r="I26" i="2"/>
  <c r="E26" i="2"/>
  <c r="I25" i="2"/>
  <c r="E25" i="2"/>
  <c r="I24" i="2"/>
  <c r="I23" i="2"/>
  <c r="E23" i="2"/>
  <c r="I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I14" i="2"/>
  <c r="I13" i="2"/>
  <c r="E13" i="2"/>
  <c r="I12" i="2"/>
  <c r="E12" i="2"/>
  <c r="I11" i="2"/>
  <c r="E11" i="2"/>
  <c r="I10" i="2"/>
  <c r="I9" i="2"/>
  <c r="I8" i="2"/>
  <c r="E8" i="2"/>
  <c r="I7" i="2"/>
  <c r="E7" i="2"/>
  <c r="I6" i="2"/>
  <c r="E6" i="2"/>
  <c r="L5" i="2"/>
  <c r="S5" i="10" s="1"/>
  <c r="I5" i="2"/>
  <c r="E5" i="2"/>
  <c r="AF5" i="10" l="1"/>
  <c r="AR5" i="10"/>
  <c r="AC5" i="10"/>
  <c r="AO5" i="10"/>
  <c r="I31" i="4"/>
  <c r="N31" i="4"/>
  <c r="E31" i="2"/>
  <c r="I31" i="2"/>
  <c r="E31" i="4"/>
  <c r="L31" i="2"/>
  <c r="I31" i="3"/>
  <c r="E31" i="3"/>
  <c r="D5" i="10"/>
  <c r="N31" i="10"/>
  <c r="G31" i="10" s="1"/>
  <c r="C31" i="10"/>
  <c r="G5" i="10"/>
  <c r="C5" i="10"/>
  <c r="E5" i="10" l="1"/>
  <c r="P36" i="12"/>
  <c r="N62" i="12"/>
  <c r="Q36" i="12" l="1"/>
  <c r="E4" i="12" s="1"/>
  <c r="AK62" i="12"/>
  <c r="AS62" i="12" s="1"/>
  <c r="AN62" i="12" l="1"/>
  <c r="AL62" i="12"/>
  <c r="AV62" i="12" s="1"/>
  <c r="AX36" i="12"/>
  <c r="AU62" i="12" l="1"/>
  <c r="BC62" i="12" s="1"/>
  <c r="BF62" i="12"/>
  <c r="AD4" i="12"/>
  <c r="BE62" i="12" l="1"/>
  <c r="BI62" i="12" s="1"/>
  <c r="BL62" i="12"/>
  <c r="AX62" i="12"/>
  <c r="AH4" i="12"/>
  <c r="AG4" i="12"/>
  <c r="BH36" i="12"/>
  <c r="L4" i="12" s="1"/>
  <c r="P4" i="12" s="1"/>
  <c r="BR62" i="12" l="1"/>
  <c r="BK62" i="12"/>
  <c r="G42" i="15"/>
  <c r="Z4" i="12"/>
  <c r="BQ62" i="12" l="1"/>
  <c r="BX62" i="12"/>
  <c r="BO62" i="12"/>
  <c r="BN62" i="12"/>
  <c r="D28" i="10"/>
  <c r="E28" i="10" s="1"/>
  <c r="D25" i="10"/>
  <c r="E25" i="10" s="1"/>
  <c r="BW62" i="12" l="1"/>
  <c r="CD62" i="12"/>
  <c r="CC62" i="12" s="1"/>
  <c r="CF62" i="12" s="1"/>
  <c r="N30" i="12" s="1"/>
  <c r="BT62" i="12"/>
  <c r="M30" i="12" s="1"/>
  <c r="BU62" i="12"/>
  <c r="D29" i="10"/>
  <c r="E29" i="10" s="1"/>
  <c r="D30" i="10"/>
  <c r="E30" i="10" s="1"/>
  <c r="D26" i="10"/>
  <c r="E26" i="10" s="1"/>
  <c r="F17" i="10"/>
  <c r="H28" i="10"/>
  <c r="I28" i="10" s="1"/>
  <c r="H27" i="10"/>
  <c r="I27" i="10" s="1"/>
  <c r="H12" i="10"/>
  <c r="I12" i="10" s="1"/>
  <c r="H10" i="10"/>
  <c r="I10" i="10" s="1"/>
  <c r="F12" i="10"/>
  <c r="H22" i="10"/>
  <c r="I22" i="10" s="1"/>
  <c r="F27" i="10"/>
  <c r="H15" i="10"/>
  <c r="I15" i="10" s="1"/>
  <c r="F10" i="10"/>
  <c r="H20" i="10"/>
  <c r="I20" i="10" s="1"/>
  <c r="F29" i="10"/>
  <c r="H29" i="10"/>
  <c r="I29" i="10" s="1"/>
  <c r="H26" i="10"/>
  <c r="I26" i="10" s="1"/>
  <c r="H17" i="10"/>
  <c r="I17" i="10" s="1"/>
  <c r="H14" i="10"/>
  <c r="I14" i="10" s="1"/>
  <c r="F15" i="10"/>
  <c r="H7" i="10"/>
  <c r="I7" i="10" s="1"/>
  <c r="F21" i="10"/>
  <c r="H21" i="10"/>
  <c r="I21" i="10" s="1"/>
  <c r="H11" i="10"/>
  <c r="I11" i="10" s="1"/>
  <c r="F16" i="10"/>
  <c r="F22" i="10"/>
  <c r="H23" i="10"/>
  <c r="I23" i="10" s="1"/>
  <c r="F28" i="10"/>
  <c r="F6" i="10"/>
  <c r="H6" i="10"/>
  <c r="I6" i="10" s="1"/>
  <c r="F25" i="10"/>
  <c r="H25" i="10"/>
  <c r="I25" i="10" s="1"/>
  <c r="F13" i="10"/>
  <c r="H13" i="10"/>
  <c r="I13" i="10" s="1"/>
  <c r="H16" i="10"/>
  <c r="I16" i="10" s="1"/>
  <c r="F20" i="10"/>
  <c r="F23" i="10"/>
  <c r="F11" i="10"/>
  <c r="F7" i="10"/>
  <c r="F8" i="10"/>
  <c r="H8" i="10"/>
  <c r="I8" i="10" s="1"/>
  <c r="F19" i="10"/>
  <c r="H19" i="10"/>
  <c r="I19" i="10" s="1"/>
  <c r="F24" i="10"/>
  <c r="H24" i="10"/>
  <c r="I24" i="10" s="1"/>
  <c r="F26" i="10"/>
  <c r="F14" i="10"/>
  <c r="F18" i="10"/>
  <c r="H18" i="10"/>
  <c r="I18" i="10" s="1"/>
  <c r="F9" i="10"/>
  <c r="H9" i="10"/>
  <c r="I9" i="10" s="1"/>
  <c r="H5" i="10"/>
  <c r="I5" i="10" s="1"/>
  <c r="AB30" i="12" l="1"/>
  <c r="R30" i="12"/>
  <c r="Q30" i="12"/>
  <c r="AA30" i="12"/>
  <c r="CA62" i="12"/>
  <c r="BZ62" i="12"/>
  <c r="F5" i="10"/>
  <c r="P63" i="12"/>
  <c r="Q63" i="12" s="1"/>
  <c r="E31" i="12" s="1"/>
  <c r="N64" i="12"/>
  <c r="F30" i="10"/>
  <c r="O31" i="10" l="1"/>
  <c r="F31" i="10" s="1"/>
  <c r="H30" i="10"/>
  <c r="I30" i="10" s="1"/>
  <c r="AK64" i="12"/>
  <c r="AS64" i="12" s="1"/>
  <c r="AN64" i="12" l="1"/>
  <c r="AL64" i="12"/>
  <c r="AV64" i="12" s="1"/>
  <c r="AX63" i="12"/>
  <c r="H31" i="10"/>
  <c r="I31" i="10" s="1"/>
  <c r="D60" i="10"/>
  <c r="M63" i="8" s="1"/>
  <c r="D43" i="10"/>
  <c r="M44" i="8" s="1"/>
  <c r="L44" i="8" s="1"/>
  <c r="AF44" i="8" s="1"/>
  <c r="D59" i="10"/>
  <c r="M60" i="8" s="1"/>
  <c r="L60" i="8" s="1"/>
  <c r="AL60" i="8" s="1"/>
  <c r="D51" i="10"/>
  <c r="M52" i="8" s="1"/>
  <c r="E20" i="8" s="1"/>
  <c r="D41" i="10"/>
  <c r="M42" i="8" s="1"/>
  <c r="E10" i="8" s="1"/>
  <c r="D35" i="10"/>
  <c r="M36" i="8" s="1"/>
  <c r="E4" i="8" s="1"/>
  <c r="D36" i="10"/>
  <c r="M37" i="8" s="1"/>
  <c r="L37" i="8" s="1"/>
  <c r="D49" i="10"/>
  <c r="M50" i="8" s="1"/>
  <c r="D53" i="10"/>
  <c r="M54" i="8" s="1"/>
  <c r="E22" i="8" s="1"/>
  <c r="D38" i="10"/>
  <c r="M39" i="8" s="1"/>
  <c r="D48" i="10"/>
  <c r="M49" i="8" s="1"/>
  <c r="L49" i="8" s="1"/>
  <c r="AL49" i="8" s="1"/>
  <c r="D37" i="10"/>
  <c r="M38" i="8" s="1"/>
  <c r="D46" i="10"/>
  <c r="M47" i="8" s="1"/>
  <c r="E15" i="8" s="1"/>
  <c r="D50" i="10"/>
  <c r="M51" i="8" s="1"/>
  <c r="L51" i="8" s="1"/>
  <c r="AF51" i="8" s="1"/>
  <c r="D56" i="10"/>
  <c r="M57" i="8" s="1"/>
  <c r="L57" i="8" s="1"/>
  <c r="AL57" i="8" s="1"/>
  <c r="D55" i="10"/>
  <c r="M56" i="8" s="1"/>
  <c r="D42" i="10"/>
  <c r="M43" i="8" s="1"/>
  <c r="E11" i="8" s="1"/>
  <c r="D47" i="10"/>
  <c r="M48" i="8" s="1"/>
  <c r="E16" i="8" s="1"/>
  <c r="D58" i="10"/>
  <c r="M59" i="8" s="1"/>
  <c r="E27" i="8" s="1"/>
  <c r="AU64" i="12" l="1"/>
  <c r="BC64" i="12" s="1"/>
  <c r="BF64" i="12"/>
  <c r="K31" i="12"/>
  <c r="O31" i="12" s="1"/>
  <c r="L25" i="8"/>
  <c r="L17" i="8"/>
  <c r="L28" i="8"/>
  <c r="AF49" i="8"/>
  <c r="Z44" i="8"/>
  <c r="K12" i="8" s="1"/>
  <c r="E31" i="8"/>
  <c r="L63" i="8"/>
  <c r="AF63" i="8" s="1"/>
  <c r="L43" i="8"/>
  <c r="Z43" i="8" s="1"/>
  <c r="K11" i="8" s="1"/>
  <c r="L48" i="8"/>
  <c r="AF48" i="8" s="1"/>
  <c r="L42" i="8"/>
  <c r="AL42" i="8" s="1"/>
  <c r="Z49" i="8"/>
  <c r="K17" i="8" s="1"/>
  <c r="E17" i="8"/>
  <c r="E28" i="8"/>
  <c r="E25" i="8"/>
  <c r="L59" i="8"/>
  <c r="AF59" i="8" s="1"/>
  <c r="AL44" i="8"/>
  <c r="L12" i="8" s="1"/>
  <c r="L47" i="8"/>
  <c r="AL47" i="8" s="1"/>
  <c r="L15" i="8" s="1"/>
  <c r="L36" i="8"/>
  <c r="Z36" i="8" s="1"/>
  <c r="K4" i="8" s="1"/>
  <c r="AF57" i="8"/>
  <c r="E7" i="8"/>
  <c r="L39" i="8"/>
  <c r="E24" i="8"/>
  <c r="L56" i="8"/>
  <c r="Z60" i="8"/>
  <c r="K28" i="8" s="1"/>
  <c r="E6" i="8"/>
  <c r="L38" i="8"/>
  <c r="E5" i="8"/>
  <c r="Z51" i="8"/>
  <c r="K19" i="8" s="1"/>
  <c r="AL51" i="8"/>
  <c r="L19" i="8" s="1"/>
  <c r="L54" i="8"/>
  <c r="L50" i="8"/>
  <c r="E18" i="8"/>
  <c r="AF37" i="8"/>
  <c r="AL37" i="8"/>
  <c r="L5" i="8" s="1"/>
  <c r="Z37" i="8"/>
  <c r="K5" i="8" s="1"/>
  <c r="AF60" i="8"/>
  <c r="Z57" i="8"/>
  <c r="K25" i="8" s="1"/>
  <c r="L52" i="8"/>
  <c r="E12" i="8"/>
  <c r="E19" i="8"/>
  <c r="Z19" i="8" l="1"/>
  <c r="P19" i="8"/>
  <c r="Y5" i="8"/>
  <c r="O5" i="8"/>
  <c r="Y17" i="8"/>
  <c r="O17" i="8"/>
  <c r="Z28" i="8"/>
  <c r="P28" i="8"/>
  <c r="Y19" i="8"/>
  <c r="O19" i="8"/>
  <c r="Z5" i="8"/>
  <c r="P5" i="8"/>
  <c r="Y4" i="8"/>
  <c r="O4" i="8"/>
  <c r="Z17" i="8"/>
  <c r="P17" i="8"/>
  <c r="Y12" i="8"/>
  <c r="O12" i="8"/>
  <c r="Z15" i="8"/>
  <c r="P15" i="8"/>
  <c r="Z25" i="8"/>
  <c r="P25" i="8"/>
  <c r="Y28" i="8"/>
  <c r="O28" i="8"/>
  <c r="Z12" i="8"/>
  <c r="P12" i="8"/>
  <c r="Y11" i="8"/>
  <c r="O11" i="8"/>
  <c r="Y25" i="8"/>
  <c r="O25" i="8"/>
  <c r="BE64" i="12"/>
  <c r="BI64" i="12" s="1"/>
  <c r="BL64" i="12"/>
  <c r="AX64" i="12"/>
  <c r="Y31" i="12"/>
  <c r="L10" i="8"/>
  <c r="AF42" i="8"/>
  <c r="Z42" i="8"/>
  <c r="K10" i="8" s="1"/>
  <c r="AF43" i="8"/>
  <c r="BH63" i="12"/>
  <c r="L31" i="12" s="1"/>
  <c r="AL36" i="8"/>
  <c r="L4" i="8" s="1"/>
  <c r="AL43" i="8"/>
  <c r="AL48" i="8"/>
  <c r="Z48" i="8"/>
  <c r="K16" i="8" s="1"/>
  <c r="AL63" i="8"/>
  <c r="L31" i="8" s="1"/>
  <c r="Z63" i="8"/>
  <c r="K31" i="8" s="1"/>
  <c r="AF36" i="8"/>
  <c r="Z47" i="8"/>
  <c r="K15" i="8" s="1"/>
  <c r="AF47" i="8"/>
  <c r="Z59" i="8"/>
  <c r="K27" i="8" s="1"/>
  <c r="AL59" i="8"/>
  <c r="L27" i="8" s="1"/>
  <c r="AF38" i="8"/>
  <c r="AL38" i="8"/>
  <c r="L6" i="8" s="1"/>
  <c r="AL56" i="8"/>
  <c r="L24" i="8" s="1"/>
  <c r="Z56" i="8"/>
  <c r="K24" i="8" s="1"/>
  <c r="AF56" i="8"/>
  <c r="AF52" i="8"/>
  <c r="Z52" i="8"/>
  <c r="K20" i="8" s="1"/>
  <c r="AL52" i="8"/>
  <c r="L20" i="8" s="1"/>
  <c r="AF54" i="8"/>
  <c r="Z54" i="8"/>
  <c r="K22" i="8" s="1"/>
  <c r="AL54" i="8"/>
  <c r="L22" i="8" s="1"/>
  <c r="L62" i="8"/>
  <c r="AL39" i="8"/>
  <c r="L7" i="8" s="1"/>
  <c r="AF39" i="8"/>
  <c r="Z39" i="8"/>
  <c r="K7" i="8" s="1"/>
  <c r="AL50" i="8"/>
  <c r="L18" i="8" s="1"/>
  <c r="AF50" i="8"/>
  <c r="Z50" i="8"/>
  <c r="K18" i="8" s="1"/>
  <c r="Z7" i="8" l="1"/>
  <c r="P7" i="8"/>
  <c r="Y10" i="8"/>
  <c r="O10" i="8"/>
  <c r="Z24" i="8"/>
  <c r="P24" i="8"/>
  <c r="Y18" i="8"/>
  <c r="O18" i="8"/>
  <c r="Z18" i="8"/>
  <c r="P18" i="8"/>
  <c r="Z20" i="8"/>
  <c r="P20" i="8"/>
  <c r="Z27" i="8"/>
  <c r="P27" i="8"/>
  <c r="Z6" i="8"/>
  <c r="P6" i="8"/>
  <c r="Z10" i="8"/>
  <c r="P10" i="8"/>
  <c r="Y7" i="8"/>
  <c r="O7" i="8"/>
  <c r="Y20" i="8"/>
  <c r="O20" i="8"/>
  <c r="Y27" i="8"/>
  <c r="O27" i="8"/>
  <c r="Y15" i="8"/>
  <c r="O15" i="8"/>
  <c r="Y24" i="8"/>
  <c r="O24" i="8"/>
  <c r="Z22" i="8"/>
  <c r="P22" i="8"/>
  <c r="Y22" i="8"/>
  <c r="O22" i="8"/>
  <c r="Y16" i="8"/>
  <c r="O16" i="8"/>
  <c r="Z4" i="8"/>
  <c r="P4" i="8"/>
  <c r="Z31" i="8"/>
  <c r="P31" i="8"/>
  <c r="Y31" i="8"/>
  <c r="O31" i="8"/>
  <c r="BR64" i="12"/>
  <c r="BK64" i="12"/>
  <c r="P31" i="12"/>
  <c r="Z31" i="12"/>
  <c r="L16" i="8"/>
  <c r="L11" i="8"/>
  <c r="AF64" i="8"/>
  <c r="Z38" i="8"/>
  <c r="K6" i="8" s="1"/>
  <c r="M62" i="8"/>
  <c r="E30" i="8" s="1"/>
  <c r="L64" i="8"/>
  <c r="M64" i="8" s="1"/>
  <c r="E32" i="8" s="1"/>
  <c r="BQ64" i="12" l="1"/>
  <c r="BX64" i="12"/>
  <c r="Z16" i="8"/>
  <c r="P16" i="8"/>
  <c r="Z11" i="8"/>
  <c r="P11" i="8"/>
  <c r="Y6" i="8"/>
  <c r="O6" i="8"/>
  <c r="BO64" i="12"/>
  <c r="BN64" i="12"/>
  <c r="AF62" i="8"/>
  <c r="Z64" i="8"/>
  <c r="K32" i="8" s="1"/>
  <c r="Z62" i="8"/>
  <c r="K30" i="8" s="1"/>
  <c r="AL62" i="8"/>
  <c r="L30" i="8" s="1"/>
  <c r="P30" i="8" s="1"/>
  <c r="AL64" i="8"/>
  <c r="L32" i="8" s="1"/>
  <c r="P32" i="8" s="1"/>
  <c r="CD64" i="12" l="1"/>
  <c r="CC64" i="12" s="1"/>
  <c r="CF64" i="12" s="1"/>
  <c r="N32" i="12" s="1"/>
  <c r="BW64" i="12"/>
  <c r="BT64" i="12"/>
  <c r="M32" i="12" s="1"/>
  <c r="BU64" i="12"/>
  <c r="Y30" i="8"/>
  <c r="O30" i="8"/>
  <c r="Y32" i="8"/>
  <c r="O32" i="8"/>
  <c r="D53" i="4"/>
  <c r="J54" i="8" s="1"/>
  <c r="D60" i="4"/>
  <c r="J63" i="8" s="1"/>
  <c r="D56" i="4"/>
  <c r="J57" i="8" s="1"/>
  <c r="D58" i="4"/>
  <c r="J59" i="8" s="1"/>
  <c r="D51" i="4"/>
  <c r="J52" i="8" s="1"/>
  <c r="D20" i="8" s="1"/>
  <c r="D41" i="4"/>
  <c r="J42" i="8" s="1"/>
  <c r="D48" i="4"/>
  <c r="J49" i="8" s="1"/>
  <c r="D17" i="8" s="1"/>
  <c r="D47" i="4"/>
  <c r="J48" i="8" s="1"/>
  <c r="I48" i="8" s="1"/>
  <c r="D46" i="4"/>
  <c r="J47" i="8" s="1"/>
  <c r="D36" i="4"/>
  <c r="J37" i="8" s="1"/>
  <c r="D50" i="4"/>
  <c r="J51" i="8" s="1"/>
  <c r="D55" i="4"/>
  <c r="J56" i="8" s="1"/>
  <c r="D43" i="4"/>
  <c r="J44" i="8" s="1"/>
  <c r="D42" i="4"/>
  <c r="J43" i="8" s="1"/>
  <c r="D49" i="4"/>
  <c r="J50" i="8" s="1"/>
  <c r="D37" i="4"/>
  <c r="J38" i="8" s="1"/>
  <c r="D59" i="4"/>
  <c r="J60" i="8" s="1"/>
  <c r="D35" i="4"/>
  <c r="J36" i="8" s="1"/>
  <c r="D38" i="4"/>
  <c r="J39" i="8" s="1"/>
  <c r="Q32" i="12" l="1"/>
  <c r="AA32" i="12"/>
  <c r="CA64" i="12"/>
  <c r="BZ64" i="12"/>
  <c r="AB32" i="12"/>
  <c r="R32" i="12"/>
  <c r="I51" i="8"/>
  <c r="D19" i="8"/>
  <c r="D16" i="8"/>
  <c r="I50" i="8"/>
  <c r="D18" i="8"/>
  <c r="D27" i="8"/>
  <c r="I59" i="8"/>
  <c r="I43" i="8"/>
  <c r="D11" i="8"/>
  <c r="I56" i="8"/>
  <c r="D24" i="8"/>
  <c r="I57" i="8"/>
  <c r="D25" i="8"/>
  <c r="I44" i="8"/>
  <c r="D12" i="8"/>
  <c r="I63" i="8"/>
  <c r="D31" i="8"/>
  <c r="D10" i="8"/>
  <c r="I42" i="8"/>
  <c r="D7" i="8"/>
  <c r="I39" i="8"/>
  <c r="I54" i="8"/>
  <c r="D22" i="8"/>
  <c r="I36" i="8"/>
  <c r="D4" i="8"/>
  <c r="I37" i="8"/>
  <c r="D5" i="8"/>
  <c r="I60" i="8"/>
  <c r="D28" i="8"/>
  <c r="I47" i="8"/>
  <c r="D15" i="8"/>
  <c r="D6" i="8"/>
  <c r="I38" i="8"/>
  <c r="I52" i="8"/>
  <c r="I49" i="8"/>
  <c r="I62" i="8" l="1"/>
  <c r="J62" i="8" l="1"/>
  <c r="D30" i="8" s="1"/>
  <c r="I64" i="8"/>
  <c r="J64" i="8" s="1"/>
  <c r="D32" i="8" s="1"/>
  <c r="D60" i="3"/>
  <c r="G63" i="8" s="1"/>
  <c r="C31" i="8" s="1"/>
  <c r="D53" i="3"/>
  <c r="G54" i="8" s="1"/>
  <c r="C22" i="8" s="1"/>
  <c r="D51" i="3"/>
  <c r="G52" i="8" s="1"/>
  <c r="C20" i="8" s="1"/>
  <c r="D43" i="3"/>
  <c r="G44" i="8" s="1"/>
  <c r="C12" i="8" s="1"/>
  <c r="D36" i="3"/>
  <c r="G37" i="8" s="1"/>
  <c r="C5" i="8" s="1"/>
  <c r="D37" i="3"/>
  <c r="G38" i="8" s="1"/>
  <c r="C6" i="8" s="1"/>
  <c r="D48" i="3"/>
  <c r="G49" i="8" s="1"/>
  <c r="C17" i="8" s="1"/>
  <c r="D47" i="3"/>
  <c r="G48" i="8" s="1"/>
  <c r="C16" i="8" s="1"/>
  <c r="D42" i="3"/>
  <c r="G43" i="8" s="1"/>
  <c r="C11" i="8" s="1"/>
  <c r="D46" i="3"/>
  <c r="G47" i="8" s="1"/>
  <c r="C15" i="8" s="1"/>
  <c r="D35" i="3"/>
  <c r="G36" i="8" s="1"/>
  <c r="D56" i="3"/>
  <c r="G57" i="8" s="1"/>
  <c r="C25" i="8" s="1"/>
  <c r="D41" i="3"/>
  <c r="G42" i="8" s="1"/>
  <c r="C10" i="8" s="1"/>
  <c r="D59" i="3"/>
  <c r="G60" i="8" s="1"/>
  <c r="C28" i="8" s="1"/>
  <c r="D58" i="3"/>
  <c r="G59" i="8" s="1"/>
  <c r="C27" i="8" s="1"/>
  <c r="D55" i="3"/>
  <c r="G56" i="8" s="1"/>
  <c r="C24" i="8" s="1"/>
  <c r="D50" i="3"/>
  <c r="G51" i="8" s="1"/>
  <c r="C19" i="8" s="1"/>
  <c r="D49" i="3"/>
  <c r="G50" i="8" s="1"/>
  <c r="C18" i="8" s="1"/>
  <c r="D38" i="3"/>
  <c r="G39" i="8" s="1"/>
  <c r="C7" i="8" s="1"/>
  <c r="C4" i="8" l="1"/>
  <c r="F36" i="8"/>
  <c r="F62" i="8" s="1"/>
  <c r="G62" i="8" s="1"/>
  <c r="C30" i="8" s="1"/>
  <c r="D49" i="2"/>
  <c r="D50" i="8" s="1"/>
  <c r="D42" i="2"/>
  <c r="D43" i="8" s="1"/>
  <c r="C43" i="8" s="1"/>
  <c r="D56" i="2"/>
  <c r="D57" i="8" s="1"/>
  <c r="B25" i="8" s="1"/>
  <c r="D55" i="2"/>
  <c r="D56" i="8" s="1"/>
  <c r="D60" i="2"/>
  <c r="D63" i="8" s="1"/>
  <c r="C63" i="8" s="1"/>
  <c r="D38" i="2"/>
  <c r="D39" i="8" s="1"/>
  <c r="D46" i="2"/>
  <c r="D47" i="8" s="1"/>
  <c r="B15" i="8" s="1"/>
  <c r="D37" i="2"/>
  <c r="D38" i="8" s="1"/>
  <c r="D36" i="2"/>
  <c r="D37" i="8" s="1"/>
  <c r="D53" i="2"/>
  <c r="D54" i="8" s="1"/>
  <c r="D51" i="2"/>
  <c r="D52" i="8" s="1"/>
  <c r="D43" i="2"/>
  <c r="D44" i="8" s="1"/>
  <c r="D48" i="2"/>
  <c r="D49" i="8" s="1"/>
  <c r="D47" i="2"/>
  <c r="D48" i="8" s="1"/>
  <c r="D50" i="2"/>
  <c r="D51" i="8" s="1"/>
  <c r="C51" i="8" s="1"/>
  <c r="D41" i="2"/>
  <c r="D42" i="8" s="1"/>
  <c r="D58" i="2"/>
  <c r="D59" i="8" s="1"/>
  <c r="B27" i="8" s="1"/>
  <c r="D35" i="2"/>
  <c r="D36" i="8" s="1"/>
  <c r="D59" i="2"/>
  <c r="D60" i="8" s="1"/>
  <c r="C60" i="8" s="1"/>
  <c r="B31" i="8" l="1"/>
  <c r="F64" i="8"/>
  <c r="G64" i="8" s="1"/>
  <c r="C32" i="8" s="1"/>
  <c r="C44" i="8"/>
  <c r="B12" i="8"/>
  <c r="C48" i="8"/>
  <c r="B16" i="8"/>
  <c r="C50" i="8"/>
  <c r="B18" i="8"/>
  <c r="B28" i="8"/>
  <c r="B11" i="8"/>
  <c r="C59" i="8"/>
  <c r="B20" i="8"/>
  <c r="C52" i="8"/>
  <c r="C54" i="8"/>
  <c r="B22" i="8"/>
  <c r="C42" i="8"/>
  <c r="B10" i="8"/>
  <c r="C56" i="8"/>
  <c r="B24" i="8"/>
  <c r="C37" i="8"/>
  <c r="B5" i="8"/>
  <c r="C38" i="8"/>
  <c r="B6" i="8"/>
  <c r="B7" i="8"/>
  <c r="C39" i="8"/>
  <c r="B4" i="8"/>
  <c r="C36" i="8"/>
  <c r="C49" i="8"/>
  <c r="B17" i="8"/>
  <c r="C47" i="8"/>
  <c r="B19" i="8"/>
  <c r="C57" i="8"/>
  <c r="C62" i="8" l="1"/>
  <c r="D62" i="8" l="1"/>
  <c r="B30" i="8" s="1"/>
  <c r="C64" i="8"/>
  <c r="D64" i="8" s="1"/>
  <c r="B32" i="8" s="1"/>
  <c r="B15" i="10" l="1"/>
  <c r="B8" i="10"/>
  <c r="L8" i="10"/>
  <c r="V8" i="10" s="1"/>
  <c r="B23" i="10"/>
  <c r="B12" i="10"/>
  <c r="B7" i="10"/>
  <c r="B13" i="10"/>
  <c r="L13" i="10"/>
  <c r="V12" i="10" s="1"/>
  <c r="B31" i="10"/>
  <c r="L12" i="10"/>
  <c r="V11" i="10" s="1"/>
  <c r="B18" i="10"/>
  <c r="L18" i="10"/>
  <c r="L7" i="10"/>
  <c r="B16" i="10"/>
  <c r="L16" i="10"/>
  <c r="B14" i="10"/>
  <c r="L17" i="10"/>
  <c r="V16" i="10" s="1"/>
  <c r="B9" i="10"/>
  <c r="L14" i="10"/>
  <c r="V13" i="10" s="1"/>
  <c r="O62" i="12"/>
  <c r="O64" i="12" s="1"/>
  <c r="P40" i="12"/>
  <c r="L15" i="10"/>
  <c r="L23" i="10"/>
  <c r="L9" i="10"/>
  <c r="V9" i="10" s="1"/>
  <c r="L6" i="10"/>
  <c r="V6" i="10" s="1"/>
  <c r="D7" i="10" l="1"/>
  <c r="E7" i="10" s="1"/>
  <c r="V7" i="10"/>
  <c r="D18" i="10"/>
  <c r="E18" i="10" s="1"/>
  <c r="V17" i="10"/>
  <c r="AF12" i="10"/>
  <c r="AE12" i="10"/>
  <c r="AR12" i="10"/>
  <c r="AQ12" i="10"/>
  <c r="AE6" i="10"/>
  <c r="AF6" i="10"/>
  <c r="AQ6" i="10"/>
  <c r="AR6" i="10"/>
  <c r="AE13" i="10"/>
  <c r="AF13" i="10"/>
  <c r="AQ13" i="10"/>
  <c r="AR13" i="10"/>
  <c r="AE8" i="10"/>
  <c r="AF8" i="10"/>
  <c r="AQ8" i="10"/>
  <c r="AR8" i="10"/>
  <c r="AR9" i="10"/>
  <c r="AQ9" i="10"/>
  <c r="AE11" i="10"/>
  <c r="AF11" i="10"/>
  <c r="AQ11" i="10"/>
  <c r="AR11" i="10"/>
  <c r="D15" i="10"/>
  <c r="E15" i="10" s="1"/>
  <c r="V14" i="10"/>
  <c r="D16" i="10"/>
  <c r="E16" i="10" s="1"/>
  <c r="V15" i="10"/>
  <c r="D23" i="10"/>
  <c r="E23" i="10" s="1"/>
  <c r="V21" i="10"/>
  <c r="AF16" i="10"/>
  <c r="AE16" i="10"/>
  <c r="AR16" i="10"/>
  <c r="AQ16" i="10"/>
  <c r="D13" i="10"/>
  <c r="E13" i="10" s="1"/>
  <c r="D9" i="10"/>
  <c r="E9" i="10" s="1"/>
  <c r="D14" i="10"/>
  <c r="E14" i="10" s="1"/>
  <c r="D12" i="10"/>
  <c r="E12" i="10" s="1"/>
  <c r="D17" i="10"/>
  <c r="E17" i="10" s="1"/>
  <c r="Q40" i="12"/>
  <c r="E8" i="12" s="1"/>
  <c r="P62" i="12"/>
  <c r="D6" i="10"/>
  <c r="E6" i="10" s="1"/>
  <c r="L31" i="10"/>
  <c r="D31" i="10" s="1"/>
  <c r="E31" i="10" s="1"/>
  <c r="D8" i="10"/>
  <c r="E8" i="10" s="1"/>
  <c r="K8" i="12" l="1"/>
  <c r="O8" i="12" s="1"/>
  <c r="AE21" i="10"/>
  <c r="AF21" i="10"/>
  <c r="AQ21" i="10"/>
  <c r="AR21" i="10"/>
  <c r="AQ15" i="10"/>
  <c r="AR15" i="10"/>
  <c r="AE17" i="10"/>
  <c r="AF17" i="10"/>
  <c r="AQ17" i="10"/>
  <c r="AR17" i="10"/>
  <c r="AE7" i="10"/>
  <c r="AF7" i="10"/>
  <c r="AQ7" i="10"/>
  <c r="AR7" i="10"/>
  <c r="AQ14" i="10"/>
  <c r="AR14" i="10"/>
  <c r="P64" i="12"/>
  <c r="Q64" i="12" s="1"/>
  <c r="E32" i="12" s="1"/>
  <c r="Q62" i="12"/>
  <c r="E30" i="12" s="1"/>
  <c r="Y8" i="12" l="1"/>
  <c r="K30" i="12"/>
  <c r="O30" i="12" s="1"/>
  <c r="K32" i="12"/>
  <c r="O32" i="12" s="1"/>
  <c r="AD8" i="12"/>
  <c r="BH40" i="12"/>
  <c r="L8" i="12" s="1"/>
  <c r="AH8" i="12" l="1"/>
  <c r="BH62" i="12"/>
  <c r="L30" i="12" s="1"/>
  <c r="P30" i="12" s="1"/>
  <c r="P8" i="12"/>
  <c r="Z8" i="12"/>
  <c r="BH64" i="12" l="1"/>
  <c r="L32" i="12" s="1"/>
  <c r="P32" i="12" s="1"/>
  <c r="Z32" i="12" l="1"/>
  <c r="AO30" i="8"/>
  <c r="AG30" i="8"/>
  <c r="AK30" i="8"/>
  <c r="AK32" i="8"/>
  <c r="AO32" i="8"/>
  <c r="AG32" i="8"/>
  <c r="C42" i="15" l="1"/>
  <c r="H42" i="15"/>
  <c r="Y30" i="12"/>
  <c r="Z30" i="12" l="1"/>
  <c r="AP30" i="8"/>
  <c r="AL30" i="8"/>
  <c r="Z30" i="8"/>
  <c r="AH30" i="8"/>
  <c r="AH32" i="8" s="1"/>
  <c r="T32" i="8" s="1"/>
  <c r="I42" i="15" l="1"/>
  <c r="Z32" i="8"/>
  <c r="AL32" i="8"/>
  <c r="AP32" i="8"/>
  <c r="Y32" i="12" l="1"/>
  <c r="AG32" i="12"/>
  <c r="B42" i="15"/>
</calcChain>
</file>

<file path=xl/sharedStrings.xml><?xml version="1.0" encoding="utf-8"?>
<sst xmlns="http://schemas.openxmlformats.org/spreadsheetml/2006/main" count="2433" uniqueCount="518">
  <si>
    <t>General Instructions</t>
  </si>
  <si>
    <t>Twenty-five MPO regions and one NON-MPO region are considered in the analysis.</t>
  </si>
  <si>
    <t xml:space="preserve">Four performance measurements are provided here (LOTTR for Interstates, LOTTR for non-Interstates, TTTR and PHED). </t>
  </si>
  <si>
    <r>
      <t xml:space="preserve">For more information regarding the performance measurements, please go to </t>
    </r>
    <r>
      <rPr>
        <i/>
        <sz val="11"/>
        <color theme="1"/>
        <rFont val="Calibri"/>
        <family val="2"/>
        <scheme val="minor"/>
      </rPr>
      <t>https://www.fhwa.dot.gov/tpm/rule.cfm</t>
    </r>
    <r>
      <rPr>
        <sz val="11"/>
        <color theme="1"/>
        <rFont val="Calibri"/>
        <family val="2"/>
        <scheme val="minor"/>
      </rPr>
      <t>.</t>
    </r>
  </si>
  <si>
    <t xml:space="preserve">The 2014 to 2017 information uses the MPO boundary based on shapefile as the basis for the trend analysis, growth projections and target setting process. </t>
  </si>
  <si>
    <t>Tab for each measure is described below:</t>
  </si>
  <si>
    <r>
      <rPr>
        <sz val="11"/>
        <color theme="1"/>
        <rFont val="Calibri"/>
        <family val="2"/>
        <scheme val="minor"/>
      </rPr>
      <t xml:space="preserve">To set the </t>
    </r>
    <r>
      <rPr>
        <b/>
        <sz val="11"/>
        <color theme="1"/>
        <rFont val="Calibri"/>
        <family val="2"/>
        <scheme val="minor"/>
      </rPr>
      <t xml:space="preserve">Target LOTTR Interstate for Region - </t>
    </r>
    <r>
      <rPr>
        <b/>
        <sz val="11"/>
        <color rgb="FFFF0000"/>
        <rFont val="Calibri"/>
        <family val="2"/>
        <scheme val="minor"/>
      </rPr>
      <t>lines 22 to 31</t>
    </r>
  </si>
  <si>
    <r>
      <t xml:space="preserve">To set the </t>
    </r>
    <r>
      <rPr>
        <b/>
        <sz val="11"/>
        <rFont val="Calibri"/>
        <family val="2"/>
        <scheme val="minor"/>
      </rPr>
      <t>Target LOTTR Non-Interstate for Region -</t>
    </r>
    <r>
      <rPr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lines 33 to 42</t>
    </r>
  </si>
  <si>
    <r>
      <t xml:space="preserve">To set the </t>
    </r>
    <r>
      <rPr>
        <b/>
        <sz val="11"/>
        <color theme="1"/>
        <rFont val="Calibri"/>
        <family val="2"/>
        <scheme val="minor"/>
      </rPr>
      <t xml:space="preserve">Target TTTR for Region - </t>
    </r>
    <r>
      <rPr>
        <b/>
        <sz val="11"/>
        <color rgb="FFFF0000"/>
        <rFont val="Calibri"/>
        <family val="2"/>
        <scheme val="minor"/>
      </rPr>
      <t>lines 44 to 52</t>
    </r>
  </si>
  <si>
    <r>
      <rPr>
        <sz val="11"/>
        <color theme="1"/>
        <rFont val="Calibri"/>
        <family val="2"/>
        <scheme val="minor"/>
      </rPr>
      <t xml:space="preserve">To set the </t>
    </r>
    <r>
      <rPr>
        <b/>
        <sz val="11"/>
        <color theme="1"/>
        <rFont val="Calibri"/>
        <family val="2"/>
        <scheme val="minor"/>
      </rPr>
      <t xml:space="preserve">Target PHED for Region - </t>
    </r>
    <r>
      <rPr>
        <b/>
        <sz val="11"/>
        <color rgb="FFFF0000"/>
        <rFont val="Calibri"/>
        <family val="2"/>
        <scheme val="minor"/>
      </rPr>
      <t>lines 54 to 62</t>
    </r>
  </si>
  <si>
    <t xml:space="preserve">For all tabs: </t>
  </si>
  <si>
    <t>User inputs are in green shaded cells - make any change you wish to make here - the spreadsheet will adjust all future values.</t>
  </si>
  <si>
    <t>Historic values and calculation results are in yellow and gray shaded cells. These show either the basic data being used, or the results of future estimates.</t>
  </si>
  <si>
    <t>Target values are in blue shaded cells.  TTI put initial values in these cells - change them if you wish.</t>
  </si>
  <si>
    <r>
      <t xml:space="preserve">Note: </t>
    </r>
    <r>
      <rPr>
        <b/>
        <sz val="11"/>
        <color theme="1"/>
        <rFont val="Calibri"/>
        <family val="2"/>
        <scheme val="minor"/>
      </rPr>
      <t>Daily PMT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Extra Delay</t>
    </r>
    <r>
      <rPr>
        <sz val="11"/>
        <color theme="1"/>
        <rFont val="Calibri"/>
        <family val="2"/>
        <scheme val="minor"/>
      </rPr>
      <t xml:space="preserve"> are projected using an annual growth rate. </t>
    </r>
  </si>
  <si>
    <r>
      <t xml:space="preserve">If multi-year analysis is required, the spreadsheet will automatically compound the </t>
    </r>
    <r>
      <rPr>
        <b/>
        <sz val="11"/>
        <color theme="1"/>
        <rFont val="Calibri"/>
        <family val="2"/>
        <scheme val="minor"/>
      </rPr>
      <t>annual growth rate</t>
    </r>
    <r>
      <rPr>
        <sz val="11"/>
        <color theme="1"/>
        <rFont val="Calibri"/>
        <family val="2"/>
        <scheme val="minor"/>
      </rPr>
      <t xml:space="preserve"> to reflect the multi-year target.</t>
    </r>
  </si>
  <si>
    <t>LOTTR (Level of Travel Time Reliability) - Interstate</t>
  </si>
  <si>
    <t>Measure: Percent of Interstate person miles traveled that are reliable.</t>
  </si>
  <si>
    <t>Metric: Ratio of 80th percentile to 50th percentile travel times.</t>
  </si>
  <si>
    <r>
      <t xml:space="preserve">Note: </t>
    </r>
    <r>
      <rPr>
        <b/>
        <sz val="11"/>
        <color theme="1"/>
        <rFont val="Calibri"/>
        <family val="2"/>
        <scheme val="minor"/>
      </rPr>
      <t>LOTTR (Interstate)</t>
    </r>
    <r>
      <rPr>
        <sz val="11"/>
        <color theme="1"/>
        <rFont val="Calibri"/>
        <family val="2"/>
        <scheme val="minor"/>
      </rPr>
      <t xml:space="preserve"> is calculated for all regions with Interstates.</t>
    </r>
  </si>
  <si>
    <t xml:space="preserve">                </t>
  </si>
  <si>
    <t>LOTTR (Interstate) Target Setting Instructions:</t>
  </si>
  <si>
    <r>
      <t xml:space="preserve">Users enter </t>
    </r>
    <r>
      <rPr>
        <b/>
        <sz val="11"/>
        <color theme="1"/>
        <rFont val="Calibri"/>
        <family val="2"/>
        <scheme val="minor"/>
      </rPr>
      <t xml:space="preserve">Growth Rate of Target PMT </t>
    </r>
    <r>
      <rPr>
        <sz val="11"/>
        <color theme="1"/>
        <rFont val="Calibri"/>
        <family val="2"/>
        <scheme val="minor"/>
      </rPr>
      <t>for</t>
    </r>
    <r>
      <rPr>
        <b/>
        <sz val="11"/>
        <color theme="1"/>
        <rFont val="Calibri"/>
        <family val="2"/>
        <scheme val="minor"/>
      </rPr>
      <t xml:space="preserve"> Interstate</t>
    </r>
    <r>
      <rPr>
        <sz val="11"/>
        <color theme="1"/>
        <rFont val="Calibri"/>
        <family val="2"/>
        <scheme val="minor"/>
      </rPr>
      <t>.</t>
    </r>
  </si>
  <si>
    <r>
      <t xml:space="preserve">Users enter </t>
    </r>
    <r>
      <rPr>
        <b/>
        <sz val="11"/>
        <color theme="1"/>
        <rFont val="Calibri"/>
        <family val="2"/>
        <scheme val="minor"/>
      </rPr>
      <t xml:space="preserve">Amount of Barely Good PMT that will turn into Unreliable PMT </t>
    </r>
    <r>
      <rPr>
        <sz val="11"/>
        <color theme="1"/>
        <rFont val="Calibri"/>
        <family val="2"/>
        <scheme val="minor"/>
      </rPr>
      <t xml:space="preserve">for </t>
    </r>
    <r>
      <rPr>
        <b/>
        <sz val="11"/>
        <color theme="1"/>
        <rFont val="Calibri"/>
        <family val="2"/>
        <scheme val="minor"/>
      </rPr>
      <t>Interstate</t>
    </r>
    <r>
      <rPr>
        <sz val="11"/>
        <color theme="1"/>
        <rFont val="Calibri"/>
        <family val="2"/>
        <scheme val="minor"/>
      </rPr>
      <t xml:space="preserve"> for a </t>
    </r>
    <r>
      <rPr>
        <b/>
        <sz val="11"/>
        <color theme="1"/>
        <rFont val="Calibri"/>
        <family val="2"/>
        <scheme val="minor"/>
      </rPr>
      <t>state/region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</si>
  <si>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Note: </t>
    </r>
    <r>
      <rPr>
        <b/>
        <sz val="11"/>
        <color theme="1"/>
        <rFont val="Calibri"/>
        <family val="2"/>
        <scheme val="minor"/>
      </rPr>
      <t>Amount of Barely Good PMT that will turn into Unreliable PMT</t>
    </r>
    <r>
      <rPr>
        <sz val="11"/>
        <color theme="1"/>
        <rFont val="Calibri"/>
        <family val="2"/>
        <scheme val="minor"/>
      </rPr>
      <t xml:space="preserve"> ranges are equal to or less than </t>
    </r>
    <r>
      <rPr>
        <b/>
        <sz val="11"/>
        <color theme="1"/>
        <rFont val="Calibri"/>
        <family val="2"/>
        <scheme val="minor"/>
      </rPr>
      <t>Barely Good PMT</t>
    </r>
    <r>
      <rPr>
        <sz val="11"/>
        <color theme="1"/>
        <rFont val="Calibri"/>
        <family val="2"/>
        <scheme val="minor"/>
      </rPr>
      <t>.</t>
    </r>
  </si>
  <si>
    <r>
      <t xml:space="preserve">Listed as an illustration, spreadsheet-based tool will automatically retrieve the adjusted </t>
    </r>
    <r>
      <rPr>
        <b/>
        <sz val="11"/>
        <color theme="1"/>
        <rFont val="Calibri"/>
        <family val="2"/>
        <scheme val="minor"/>
      </rPr>
      <t>Reliable Daily PMT,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Interstate Reliable PMT Percentage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Overall Reliable PMT Percentage</t>
    </r>
    <r>
      <rPr>
        <sz val="11"/>
        <color theme="1"/>
        <rFont val="Calibri"/>
        <family val="2"/>
        <scheme val="minor"/>
      </rPr>
      <t xml:space="preserve"> based on user inputs and historical values.</t>
    </r>
  </si>
  <si>
    <r>
      <t>Spreadsheet-based tool will automatically calculate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</t>
    </r>
    <r>
      <rPr>
        <b/>
        <sz val="11"/>
        <color theme="1"/>
        <rFont val="Calibri"/>
        <family val="2"/>
        <scheme val="minor"/>
      </rPr>
      <t xml:space="preserve"> Summary Measures </t>
    </r>
    <r>
      <rPr>
        <sz val="11"/>
        <color theme="1"/>
        <rFont val="Calibri"/>
        <family val="2"/>
        <scheme val="minor"/>
      </rPr>
      <t xml:space="preserve">using the Weighted Average Function in Excel. Note: </t>
    </r>
    <r>
      <rPr>
        <b/>
        <sz val="11"/>
        <color theme="1"/>
        <rFont val="Calibri"/>
        <family val="2"/>
        <scheme val="minor"/>
      </rPr>
      <t>Summary Measures</t>
    </r>
    <r>
      <rPr>
        <sz val="11"/>
        <color theme="1"/>
        <rFont val="Calibri"/>
        <family val="2"/>
        <scheme val="minor"/>
      </rPr>
      <t xml:space="preserve"> ranges are equal to or greater than 0.</t>
    </r>
  </si>
  <si>
    <t>LOTTR (Level of Travel Time Reliability) - Non-Interstate</t>
  </si>
  <si>
    <t>Measure: Percent of Non-Interstate person miles traveled that are reliable.</t>
  </si>
  <si>
    <r>
      <t xml:space="preserve">Note: </t>
    </r>
    <r>
      <rPr>
        <b/>
        <sz val="11"/>
        <color theme="1"/>
        <rFont val="Calibri"/>
        <family val="2"/>
        <scheme val="minor"/>
      </rPr>
      <t>LOTTR (Non-Interstate)</t>
    </r>
    <r>
      <rPr>
        <sz val="11"/>
        <color theme="1"/>
        <rFont val="Calibri"/>
        <family val="2"/>
        <scheme val="minor"/>
      </rPr>
      <t xml:space="preserve"> is calculated for all regions.</t>
    </r>
  </si>
  <si>
    <t>LOTTR (Non-Interstate) Target Setting Instructions:</t>
  </si>
  <si>
    <r>
      <t xml:space="preserve">Users enter </t>
    </r>
    <r>
      <rPr>
        <b/>
        <sz val="11"/>
        <color theme="1"/>
        <rFont val="Calibri"/>
        <family val="2"/>
        <scheme val="minor"/>
      </rPr>
      <t xml:space="preserve">Growth Rate of Target PMT </t>
    </r>
    <r>
      <rPr>
        <sz val="11"/>
        <color theme="1"/>
        <rFont val="Calibri"/>
        <family val="2"/>
        <scheme val="minor"/>
      </rPr>
      <t>for</t>
    </r>
    <r>
      <rPr>
        <b/>
        <sz val="11"/>
        <color theme="1"/>
        <rFont val="Calibri"/>
        <family val="2"/>
        <scheme val="minor"/>
      </rPr>
      <t xml:space="preserve"> Non-Interstate</t>
    </r>
    <r>
      <rPr>
        <sz val="11"/>
        <color theme="1"/>
        <rFont val="Calibri"/>
        <family val="2"/>
        <scheme val="minor"/>
      </rPr>
      <t>.</t>
    </r>
  </si>
  <si>
    <r>
      <t xml:space="preserve">Users enter </t>
    </r>
    <r>
      <rPr>
        <b/>
        <sz val="11"/>
        <color theme="1"/>
        <rFont val="Calibri"/>
        <family val="2"/>
        <scheme val="minor"/>
      </rPr>
      <t xml:space="preserve">Amount of Barely Good  PMT that will turn into Unreliable PMT </t>
    </r>
    <r>
      <rPr>
        <sz val="11"/>
        <color theme="1"/>
        <rFont val="Calibri"/>
        <family val="2"/>
        <scheme val="minor"/>
      </rPr>
      <t xml:space="preserve">for </t>
    </r>
    <r>
      <rPr>
        <b/>
        <sz val="11"/>
        <color theme="1"/>
        <rFont val="Calibri"/>
        <family val="2"/>
        <scheme val="minor"/>
      </rPr>
      <t>Non-Interstate</t>
    </r>
    <r>
      <rPr>
        <sz val="11"/>
        <color theme="1"/>
        <rFont val="Calibri"/>
        <family val="2"/>
        <scheme val="minor"/>
      </rPr>
      <t xml:space="preserve"> for a </t>
    </r>
    <r>
      <rPr>
        <b/>
        <sz val="11"/>
        <color theme="1"/>
        <rFont val="Calibri"/>
        <family val="2"/>
        <scheme val="minor"/>
      </rPr>
      <t>state/region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</si>
  <si>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Listed as an illustration, spreadsheet-based tool will automatically retrieve the adjusted </t>
    </r>
    <r>
      <rPr>
        <b/>
        <sz val="11"/>
        <color theme="1"/>
        <rFont val="Calibri"/>
        <family val="2"/>
        <scheme val="minor"/>
      </rPr>
      <t>Reliable Daily PMT,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Non-Interstate Reliable PMT Percentage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Overall Reliable PMT Percentage</t>
    </r>
    <r>
      <rPr>
        <sz val="11"/>
        <color theme="1"/>
        <rFont val="Calibri"/>
        <family val="2"/>
        <scheme val="minor"/>
      </rPr>
      <t xml:space="preserve"> based on user inputs and historical values.</t>
    </r>
  </si>
  <si>
    <t>TTTR  (Truck Travel Time Reliability)</t>
  </si>
  <si>
    <t>Measure: TTTR Index. The sum of maximum TTTR for each segment times its length, divided by total Interstate miles.</t>
  </si>
  <si>
    <t>Metric: Ratio of 95th percentile to 50th percentile travel times.</t>
  </si>
  <si>
    <r>
      <t xml:space="preserve">Note: </t>
    </r>
    <r>
      <rPr>
        <b/>
        <sz val="11"/>
        <color theme="1"/>
        <rFont val="Calibri"/>
        <family val="2"/>
        <scheme val="minor"/>
      </rPr>
      <t>TTTR</t>
    </r>
    <r>
      <rPr>
        <sz val="11"/>
        <color theme="1"/>
        <rFont val="Calibri"/>
        <family val="2"/>
        <scheme val="minor"/>
      </rPr>
      <t xml:space="preserve"> is calculated for all regions </t>
    </r>
    <r>
      <rPr>
        <b/>
        <sz val="11"/>
        <color rgb="FFFF0000"/>
        <rFont val="Calibri"/>
        <family val="2"/>
        <scheme val="minor"/>
      </rPr>
      <t>EXCEPT</t>
    </r>
    <r>
      <rPr>
        <sz val="11"/>
        <color theme="1"/>
        <rFont val="Calibri"/>
        <family val="2"/>
        <scheme val="minor"/>
      </rPr>
      <t xml:space="preserve"> four regions (Bryan-College Station, San Angelo, Sherman-Denison and Victoria) (No Interstate Highways).</t>
    </r>
  </si>
  <si>
    <t>TTTR Target Setting Instructions:</t>
  </si>
  <si>
    <r>
      <t xml:space="preserve">Users enter </t>
    </r>
    <r>
      <rPr>
        <b/>
        <sz val="11"/>
        <color theme="1"/>
        <rFont val="Calibri"/>
        <family val="2"/>
        <scheme val="minor"/>
      </rPr>
      <t xml:space="preserve">Annual Growth Rate of P95/P50 for 2017-2020 </t>
    </r>
    <r>
      <rPr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Annual Growth Rate of P95/P50 for 2020-2022</t>
    </r>
    <r>
      <rPr>
        <sz val="11"/>
        <color theme="1"/>
        <rFont val="Calibri"/>
        <family val="2"/>
        <scheme val="minor"/>
      </rPr>
      <t xml:space="preserve">. Note: </t>
    </r>
    <r>
      <rPr>
        <b/>
        <sz val="11"/>
        <color theme="1"/>
        <rFont val="Calibri"/>
        <family val="2"/>
        <scheme val="minor"/>
      </rPr>
      <t>Annual Growth Rate of P95/P50 for 2017-2020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Annual Growth Rate of P95/P50 for 2020-2022</t>
    </r>
    <r>
      <rPr>
        <sz val="11"/>
        <color theme="1"/>
        <rFont val="Calibri"/>
        <family val="2"/>
        <scheme val="minor"/>
      </rPr>
      <t xml:space="preserve"> range from 0% to 100%.</t>
    </r>
  </si>
  <si>
    <r>
      <t xml:space="preserve">Users enter </t>
    </r>
    <r>
      <rPr>
        <b/>
        <sz val="11"/>
        <color theme="1"/>
        <rFont val="Calibri"/>
        <family val="2"/>
        <scheme val="minor"/>
      </rPr>
      <t xml:space="preserve">Avg P95/P50 </t>
    </r>
    <r>
      <rPr>
        <sz val="11"/>
        <color theme="1"/>
        <rFont val="Calibri"/>
        <family val="2"/>
        <scheme val="minor"/>
      </rPr>
      <t xml:space="preserve">of 2020 TTTR Target and 2022 TTTR Target for real-life scenarios. </t>
    </r>
  </si>
  <si>
    <r>
      <t>Listed as an illustration, spreadsheet-based tool will automatically retrieve the adjusted</t>
    </r>
    <r>
      <rPr>
        <b/>
        <sz val="11"/>
        <color theme="1"/>
        <rFont val="Calibri"/>
        <family val="2"/>
        <scheme val="minor"/>
      </rPr>
      <t xml:space="preserve"> Calculation </t>
    </r>
    <r>
      <rPr>
        <sz val="11"/>
        <color theme="1"/>
        <rFont val="Calibri"/>
        <family val="2"/>
        <scheme val="minor"/>
      </rPr>
      <t>based on the user inputs and historical values.</t>
    </r>
  </si>
  <si>
    <r>
      <t xml:space="preserve">Spreadsheet-based tool will automatically calculate the </t>
    </r>
    <r>
      <rPr>
        <b/>
        <sz val="11"/>
        <color theme="1"/>
        <rFont val="Calibri"/>
        <family val="2"/>
        <scheme val="minor"/>
      </rPr>
      <t xml:space="preserve">Summary Measures </t>
    </r>
    <r>
      <rPr>
        <sz val="11"/>
        <color theme="1"/>
        <rFont val="Calibri"/>
        <family val="2"/>
        <scheme val="minor"/>
      </rPr>
      <t xml:space="preserve">using the Weighted Average Function in Excel. Note: </t>
    </r>
    <r>
      <rPr>
        <b/>
        <sz val="11"/>
        <color theme="1"/>
        <rFont val="Calibri"/>
        <family val="2"/>
        <scheme val="minor"/>
      </rPr>
      <t>Summary Measures</t>
    </r>
    <r>
      <rPr>
        <sz val="11"/>
        <color theme="1"/>
        <rFont val="Calibri"/>
        <family val="2"/>
        <scheme val="minor"/>
      </rPr>
      <t xml:space="preserve"> ranges are equal to or greater than 0.</t>
    </r>
  </si>
  <si>
    <t>PHED  (Peak Hour Excess Delay)</t>
  </si>
  <si>
    <t>Measure:  Annual hours of PHED per capita.</t>
  </si>
  <si>
    <t>Metric:  Accumulated Delay measured from 60% of posted speed limit or 20 mph (whichever is greater).</t>
  </si>
  <si>
    <r>
      <t xml:space="preserve">Note: </t>
    </r>
    <r>
      <rPr>
        <b/>
        <sz val="11"/>
        <color theme="1"/>
        <rFont val="Calibri"/>
        <family val="2"/>
        <scheme val="minor"/>
      </rPr>
      <t xml:space="preserve">PHED </t>
    </r>
    <r>
      <rPr>
        <sz val="11"/>
        <color theme="1"/>
        <rFont val="Calibri"/>
        <family val="2"/>
        <scheme val="minor"/>
      </rPr>
      <t>is</t>
    </r>
    <r>
      <rPr>
        <sz val="11"/>
        <rFont val="Calibri"/>
        <family val="2"/>
        <scheme val="minor"/>
      </rPr>
      <t xml:space="preserve"> calculated for</t>
    </r>
    <r>
      <rPr>
        <b/>
        <sz val="11"/>
        <color rgb="FFFF0000"/>
        <rFont val="Calibri"/>
        <family val="2"/>
        <scheme val="minor"/>
      </rPr>
      <t xml:space="preserve"> ONLY</t>
    </r>
    <r>
      <rPr>
        <sz val="11"/>
        <color theme="1"/>
        <rFont val="Calibri"/>
        <family val="2"/>
        <scheme val="minor"/>
      </rPr>
      <t xml:space="preserve"> four regions (Austin, Dallas-Fort Worth, Houston-Galveston, and San Antonio).</t>
    </r>
  </si>
  <si>
    <t>PHED Target Setting Instructions:</t>
  </si>
  <si>
    <r>
      <t xml:space="preserve">Users enter </t>
    </r>
    <r>
      <rPr>
        <b/>
        <sz val="11"/>
        <color theme="1"/>
        <rFont val="Calibri"/>
        <family val="2"/>
        <scheme val="minor"/>
      </rPr>
      <t xml:space="preserve">Daily PMT Growth Rate </t>
    </r>
    <r>
      <rPr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Extra Delay Growth Rate</t>
    </r>
    <r>
      <rPr>
        <sz val="11"/>
        <color theme="1"/>
        <rFont val="Calibri"/>
        <family val="2"/>
        <scheme val="minor"/>
      </rPr>
      <t xml:space="preserve">. Note: </t>
    </r>
    <r>
      <rPr>
        <b/>
        <sz val="11"/>
        <color theme="1"/>
        <rFont val="Calibri"/>
        <family val="2"/>
        <scheme val="minor"/>
      </rPr>
      <t>Daily PMT Growth Rate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Extra Delay Growth Rate</t>
    </r>
    <r>
      <rPr>
        <sz val="11"/>
        <color theme="1"/>
        <rFont val="Calibri"/>
        <family val="2"/>
        <scheme val="minor"/>
      </rPr>
      <t xml:space="preserve"> range from 0% to 100%.</t>
    </r>
  </si>
  <si>
    <r>
      <t>Listed as an illustration, spreadsheet-based tool will automatically retrieve the</t>
    </r>
    <r>
      <rPr>
        <b/>
        <sz val="11"/>
        <color theme="1"/>
        <rFont val="Calibri"/>
        <family val="2"/>
        <scheme val="minor"/>
      </rPr>
      <t xml:space="preserve"> 2018-2020 PHED </t>
    </r>
    <r>
      <rPr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2011-2022 PHED </t>
    </r>
    <r>
      <rPr>
        <sz val="11"/>
        <color theme="1"/>
        <rFont val="Calibri"/>
        <family val="2"/>
        <scheme val="minor"/>
      </rPr>
      <t>based on user inputs and historical values.</t>
    </r>
  </si>
  <si>
    <r>
      <t xml:space="preserve">Users enter </t>
    </r>
    <r>
      <rPr>
        <b/>
        <sz val="11"/>
        <color theme="1"/>
        <rFont val="Calibri"/>
        <family val="2"/>
        <scheme val="minor"/>
      </rPr>
      <t>2020 PHED Target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2022 PHED Targets.</t>
    </r>
  </si>
  <si>
    <r>
      <t xml:space="preserve">Spreadsheet-based tool will automatically calculate the </t>
    </r>
    <r>
      <rPr>
        <b/>
        <sz val="11"/>
        <color theme="1"/>
        <rFont val="Calibri"/>
        <family val="2"/>
        <scheme val="minor"/>
      </rPr>
      <t xml:space="preserve">Summary Measures </t>
    </r>
    <r>
      <rPr>
        <sz val="11"/>
        <color theme="1"/>
        <rFont val="Calibri"/>
        <family val="2"/>
        <scheme val="minor"/>
      </rPr>
      <t>using the Sum Function in Excel. Note: Summary Measures ranges are equal to or greater than 0.</t>
    </r>
  </si>
  <si>
    <t>Year</t>
  </si>
  <si>
    <t>Interstate Highway Reliable PMT % (I-LOTTR)</t>
  </si>
  <si>
    <t>Non-Interstate Highway Reliable PMT % (NI-LOTTR)</t>
  </si>
  <si>
    <t>Interstate TTTR</t>
  </si>
  <si>
    <t>DFW PHED per capita</t>
  </si>
  <si>
    <t>HOU PHED per capita</t>
  </si>
  <si>
    <t>ELP PHED per capita</t>
  </si>
  <si>
    <t>SA PHED per capita</t>
  </si>
  <si>
    <t>Actual/Reported Data</t>
  </si>
  <si>
    <t>Old Target</t>
  </si>
  <si>
    <t>NewTarget</t>
  </si>
  <si>
    <t>2020 Target</t>
  </si>
  <si>
    <t>2022 Target</t>
  </si>
  <si>
    <t>2024 Target</t>
  </si>
  <si>
    <t>2026 Target</t>
  </si>
  <si>
    <t>LOTTR_ Interstate</t>
  </si>
  <si>
    <t>LOTTR_ Non-Interstate</t>
  </si>
  <si>
    <t>TTTR</t>
  </si>
  <si>
    <t>PHED per capita</t>
  </si>
  <si>
    <t xml:space="preserve">Abilene </t>
  </si>
  <si>
    <t xml:space="preserve">Amarillo </t>
  </si>
  <si>
    <t xml:space="preserve">Austin  </t>
  </si>
  <si>
    <t xml:space="preserve">Beaumont-Port Arthur  </t>
  </si>
  <si>
    <t>Brownsville</t>
  </si>
  <si>
    <t xml:space="preserve">Bryan-College Station </t>
  </si>
  <si>
    <t xml:space="preserve">Corpus Christi </t>
  </si>
  <si>
    <t xml:space="preserve">Dallas-Fort Worth  </t>
  </si>
  <si>
    <t xml:space="preserve">El Paso </t>
  </si>
  <si>
    <t>Harlingen</t>
  </si>
  <si>
    <t>Hidalgo</t>
  </si>
  <si>
    <t xml:space="preserve">Houston-Galveston  </t>
  </si>
  <si>
    <t xml:space="preserve">Killeen-Temple  </t>
  </si>
  <si>
    <t>Laredo</t>
  </si>
  <si>
    <t xml:space="preserve">Longview </t>
  </si>
  <si>
    <t>Lubbock</t>
  </si>
  <si>
    <t xml:space="preserve">Permian Basin </t>
  </si>
  <si>
    <t>San Angelo</t>
  </si>
  <si>
    <t xml:space="preserve">San Antonio  </t>
  </si>
  <si>
    <t xml:space="preserve">Sherman-Denison </t>
  </si>
  <si>
    <t xml:space="preserve">Texarkana </t>
  </si>
  <si>
    <t xml:space="preserve">Tyler </t>
  </si>
  <si>
    <t xml:space="preserve">Victoria </t>
  </si>
  <si>
    <t>Waco</t>
  </si>
  <si>
    <t xml:space="preserve">Wichita Falls </t>
  </si>
  <si>
    <t>Rio Grande Valley MPO</t>
  </si>
  <si>
    <t>*</t>
  </si>
  <si>
    <t>MPO Total</t>
  </si>
  <si>
    <t>NON-MPO</t>
  </si>
  <si>
    <t>State Total</t>
  </si>
  <si>
    <t>Conroe-Woodlands</t>
  </si>
  <si>
    <t>Denton-Lewisville</t>
  </si>
  <si>
    <t>McKinney</t>
  </si>
  <si>
    <t>* Rio Grande Valley MPO targets for 2020 and 2022 are based on the compilation of the 2020 and 2022 targets for the 3 MPOs that were combined.</t>
  </si>
  <si>
    <t>2014 LOTTR-I</t>
  </si>
  <si>
    <t>2015 LOTTR-I</t>
  </si>
  <si>
    <t>2016 LOTTR-I</t>
  </si>
  <si>
    <t>2017 LOTTR-I</t>
  </si>
  <si>
    <t>2017 NEW LOTTR-I ACTUAL DATA</t>
  </si>
  <si>
    <t>2018 LOTTR-I ACTUAL DATA</t>
  </si>
  <si>
    <t>2019 LOTTR-I ACTUAL DATA</t>
  </si>
  <si>
    <t>2020 LOTTR-I ACTUAL DATA</t>
  </si>
  <si>
    <t>2021 LOTTR-I ACTUAL DATA</t>
  </si>
  <si>
    <t>2020 LOTTR-I Estimated from 2019</t>
  </si>
  <si>
    <t>2022 LOTTR-I Estimated form 2019</t>
  </si>
  <si>
    <t>2024 LOTTR-I Estimated form 2019</t>
  </si>
  <si>
    <t>2026 LOTTR-I Estimated form 2019</t>
  </si>
  <si>
    <t>2019-2020 Estimated from 2019</t>
  </si>
  <si>
    <t>2019-2022 Estimated from 2019</t>
  </si>
  <si>
    <t>2019-2024 Estimated from 2019</t>
  </si>
  <si>
    <t>2019-2026 Estimated from 2019</t>
  </si>
  <si>
    <t>TTI Suggested Targets</t>
  </si>
  <si>
    <t>TTI Suggested Growth for 2024 Target</t>
  </si>
  <si>
    <t>TTI Suggested Growth for 2026 Target</t>
  </si>
  <si>
    <t>Differences with Trend      (Estimated - Trend)</t>
  </si>
  <si>
    <t>Daily Person Miles of Travel</t>
  </si>
  <si>
    <t>Calculation</t>
  </si>
  <si>
    <t>Region</t>
  </si>
  <si>
    <t>Reliable Percentage</t>
  </si>
  <si>
    <t>Percentage Point Change</t>
  </si>
  <si>
    <t>2020 LOTTR-I</t>
  </si>
  <si>
    <t>2022 LOTTR-I</t>
  </si>
  <si>
    <t>2024 LOTTR-I</t>
  </si>
  <si>
    <t>2026 LOTTR-I</t>
  </si>
  <si>
    <t>2020 PMT</t>
  </si>
  <si>
    <t>2022 PMT</t>
  </si>
  <si>
    <t>2024 PMT</t>
  </si>
  <si>
    <t>2026 PMT</t>
  </si>
  <si>
    <t>2020 PMT x Target</t>
  </si>
  <si>
    <t>2022 PMT x Target</t>
  </si>
  <si>
    <t>2024 PMT x Target</t>
  </si>
  <si>
    <t>2026 PMT x Target</t>
  </si>
  <si>
    <t>2014 - Phase 1 ACTUAL DATA</t>
  </si>
  <si>
    <t>2015 - Phase 1 ACTUAL DATA</t>
  </si>
  <si>
    <t>2016 - Phase 1 ACTUAL DATA</t>
  </si>
  <si>
    <t>2017 - Phase 2 ACTUAL DATA</t>
  </si>
  <si>
    <t>2017 NEW ACTUAL DATA</t>
  </si>
  <si>
    <t>2018 ACTUAL DATA</t>
  </si>
  <si>
    <t>2019 ACTUAL DATA</t>
  </si>
  <si>
    <t>2020 Estimated from 2019</t>
  </si>
  <si>
    <t>2020 ACTUAL DATA</t>
  </si>
  <si>
    <t>2021 Estimated from 2019</t>
  </si>
  <si>
    <t>2021 ACTUAL DATA</t>
  </si>
  <si>
    <t>2022 Estimated from 2019</t>
  </si>
  <si>
    <t>2023 Estimated from 2019</t>
  </si>
  <si>
    <t>2024 Estimated from 2019</t>
  </si>
  <si>
    <t>2025 Estimated from 2019</t>
  </si>
  <si>
    <t>2026 Estimated from 2019</t>
  </si>
  <si>
    <t>Reliable Daily PMT</t>
  </si>
  <si>
    <t>Unreliable Daily PMT</t>
  </si>
  <si>
    <t>Total Daily PMT</t>
  </si>
  <si>
    <t>Vehicle Occupancy Adjustment Factor</t>
  </si>
  <si>
    <t>Total Daily Adjusted by Vehicle Occupancy</t>
  </si>
  <si>
    <t>Reliable Percentage Adjusted by Vehicle Occupancy</t>
  </si>
  <si>
    <t xml:space="preserve">Barely Good Daily PMT </t>
  </si>
  <si>
    <t>Annual Growth Rate of Target PMT for 2019-2022</t>
  </si>
  <si>
    <t>Barely Good  PMT grown from 2019</t>
  </si>
  <si>
    <t>Adjusted Reliable Daily PMT</t>
  </si>
  <si>
    <t>Barely Good  PMT grown from 2020</t>
  </si>
  <si>
    <t>Barely Good  PMT grown from 2021</t>
  </si>
  <si>
    <t>2014 LOTTR-NI</t>
  </si>
  <si>
    <t>2015 LOTTR-NI</t>
  </si>
  <si>
    <t>2016 LOTTR-NI</t>
  </si>
  <si>
    <t>2017 LOTTR-NI</t>
  </si>
  <si>
    <t>2017 NEW LOTTR-NI ACTUAL DATA</t>
  </si>
  <si>
    <t>2018 LOTTR-NI ACTUAL DATA</t>
  </si>
  <si>
    <t>2019 LOTTR-NI ACTUAL DATA</t>
  </si>
  <si>
    <t>2020 LOTTR-NI ACTUAL DATA</t>
  </si>
  <si>
    <t>2021 LOTTR-NI ACTUAL DATA</t>
  </si>
  <si>
    <t>2020 LOTTR-NI Estimated from 2019</t>
  </si>
  <si>
    <t>2022 LOTTR-NI Estimated from 2019</t>
  </si>
  <si>
    <t>2024 LOTTR-NI Estimated form 2019</t>
  </si>
  <si>
    <t>2026 LOTTR-NI Estimated form 2019</t>
  </si>
  <si>
    <t>2020 LOTTR-NI</t>
  </si>
  <si>
    <t>2022 LOTTR-NI</t>
  </si>
  <si>
    <t>2024 LOTTR-NI</t>
  </si>
  <si>
    <t>2026 LOTTR-NI</t>
  </si>
  <si>
    <t>2020 Estimated Data from 2019</t>
  </si>
  <si>
    <t>Annual Growth Rate of Target PMT for 2017-2020</t>
  </si>
  <si>
    <t>Barely Good PMT grown from 2019</t>
  </si>
  <si>
    <t>Performance Measures</t>
  </si>
  <si>
    <t xml:space="preserve">Number Change between Projected Targets End Year to Base Year </t>
  </si>
  <si>
    <t>Differences with Trend         (Estimated - Trend)</t>
  </si>
  <si>
    <t>Interstate Miles</t>
  </si>
  <si>
    <t xml:space="preserve">Calculation </t>
  </si>
  <si>
    <t>% Change between TTI Suggested Targets End Year to Base Year</t>
  </si>
  <si>
    <t>Number Change between TTI Suggested Targets End Year to Base Year</t>
  </si>
  <si>
    <t>2014 TTTR ACTUAL DATA</t>
  </si>
  <si>
    <t>2015 TTTR ACTUAL DATA</t>
  </si>
  <si>
    <t>2016 TTTR ACTUAL DATA</t>
  </si>
  <si>
    <t>2017 TTTR ACTUAL DATA</t>
  </si>
  <si>
    <t>2017 NEW TTTR ACTUAL DATA</t>
  </si>
  <si>
    <t>2018 TTTR ACTUAL DATA</t>
  </si>
  <si>
    <t>2019 TTTR ACTUAL DATA</t>
  </si>
  <si>
    <t>2020 TTTR ACTUAL DATA</t>
  </si>
  <si>
    <t>2021 TTTR ACTUAL DATA</t>
  </si>
  <si>
    <t>2020 TTTR Estimated from 2019</t>
  </si>
  <si>
    <t>2022 TTTR Estimated from 2019</t>
  </si>
  <si>
    <t>2024 TTTR Estimated from 2019</t>
  </si>
  <si>
    <t>2026 TTTR Estimated from 2019</t>
  </si>
  <si>
    <t>point chg 19-20</t>
  </si>
  <si>
    <t>point chg 19-22</t>
  </si>
  <si>
    <t>point chg 19-24</t>
  </si>
  <si>
    <t>point chg 19-26</t>
  </si>
  <si>
    <t>2020 TTTR</t>
  </si>
  <si>
    <t>2022 TTTR</t>
  </si>
  <si>
    <t>2024 TTI Suggested Change</t>
  </si>
  <si>
    <t>2026 TTI Suggested Change</t>
  </si>
  <si>
    <t>2024 TTTR</t>
  </si>
  <si>
    <t>2026 TTTR</t>
  </si>
  <si>
    <t>2020 miles</t>
  </si>
  <si>
    <t>2022 miles</t>
  </si>
  <si>
    <t>2024 miles</t>
  </si>
  <si>
    <t>2026 miles</t>
  </si>
  <si>
    <t>2020 miles x Target</t>
  </si>
  <si>
    <t>2022 miles x Target</t>
  </si>
  <si>
    <t>2024 miles x Target</t>
  </si>
  <si>
    <t>2026 miles x Target</t>
  </si>
  <si>
    <t>19 to 20</t>
  </si>
  <si>
    <t>19 to 22</t>
  </si>
  <si>
    <t>19 to 24</t>
  </si>
  <si>
    <t>19 to 26</t>
  </si>
  <si>
    <t>San Antonio</t>
  </si>
  <si>
    <t>2014 ACTUAL DATA</t>
  </si>
  <si>
    <t>2015 ACTUAL DATA</t>
  </si>
  <si>
    <t>2016 ACTUAL DATA</t>
  </si>
  <si>
    <t>2017 ACTUAL DATA</t>
  </si>
  <si>
    <t>2021 Estimated Data from 2019</t>
  </si>
  <si>
    <t>2022 Estimated Data from 2019</t>
  </si>
  <si>
    <t>2023 Estimated Data from 2019</t>
  </si>
  <si>
    <t>2024 Estimated Data from 2019</t>
  </si>
  <si>
    <t>2025 Estimated Data from 2019</t>
  </si>
  <si>
    <t>2026 Estimated Data from 2019</t>
  </si>
  <si>
    <t>Avg P95/ P50</t>
  </si>
  <si>
    <t>Annual Growth Rate of P95/P50 for 2017-2020</t>
  </si>
  <si>
    <t xml:space="preserve"> 2014 PHED</t>
  </si>
  <si>
    <t xml:space="preserve"> 2015 PHED</t>
  </si>
  <si>
    <t xml:space="preserve"> 2016 PHED</t>
  </si>
  <si>
    <t>2017 PHED</t>
  </si>
  <si>
    <t>2017 NEW PHED</t>
  </si>
  <si>
    <t>2018 PHED</t>
  </si>
  <si>
    <t>2019 PHED</t>
  </si>
  <si>
    <t>2018 Census population est.</t>
  </si>
  <si>
    <t>Estim 2020 Popn</t>
  </si>
  <si>
    <t>2020 PHED per Capita</t>
  </si>
  <si>
    <t>2022 PHED per Capita</t>
  </si>
  <si>
    <t>2020 PHED Delay</t>
  </si>
  <si>
    <t>2022 PHED Per Capita</t>
  </si>
  <si>
    <t>2020 PHED</t>
  </si>
  <si>
    <t>2021 PHED</t>
  </si>
  <si>
    <t>4pm to 8pm</t>
  </si>
  <si>
    <t>2018 Census Population est.</t>
  </si>
  <si>
    <t>Daily PMT Growth Rate</t>
  </si>
  <si>
    <t>Extra Delay Growth Rate</t>
  </si>
  <si>
    <t xml:space="preserve"> 2020 PHED</t>
  </si>
  <si>
    <t xml:space="preserve"> 2021 PHED</t>
  </si>
  <si>
    <t xml:space="preserve"> 2022 PHED</t>
  </si>
  <si>
    <t>Estim 2022 Popn</t>
  </si>
  <si>
    <t>2024 PHED per Capita</t>
  </si>
  <si>
    <t>2026 PHED Per Capita</t>
  </si>
  <si>
    <t>El Paso</t>
  </si>
  <si>
    <t>N/A</t>
  </si>
  <si>
    <t xml:space="preserve">3pm to 7pm </t>
  </si>
  <si>
    <t xml:space="preserve">Note: Austin and San Antonio targets will not be reported - provided only for illustration. </t>
  </si>
  <si>
    <t>updated the populations with 2018 estimated populations and recalculated 2020 and 2022 estimated populations.  Also updated the 2017-2019 delay.</t>
  </si>
  <si>
    <t>Other Information</t>
  </si>
  <si>
    <t xml:space="preserve">Lots more speed limits on the 2019 version so more TMC contributed delay to the totals which is why they went up.  </t>
  </si>
  <si>
    <t>2017 Directional Miles</t>
  </si>
  <si>
    <t>2017 NEW Directional Miles</t>
  </si>
  <si>
    <t>2018 Directional Miles</t>
  </si>
  <si>
    <t>2019 Directional Miles</t>
  </si>
  <si>
    <t xml:space="preserve">highlighted in yellow where changes were made.  </t>
  </si>
  <si>
    <t>Houston, TX Urbanized Area (2010)</t>
  </si>
  <si>
    <t>MEANS OF TRANSPORTATION TO WORK</t>
  </si>
  <si>
    <t>Estimate</t>
  </si>
  <si>
    <t>Margin of Error</t>
  </si>
  <si>
    <t>Car, truck, or van -- drove alone</t>
  </si>
  <si>
    <t>±0.6</t>
  </si>
  <si>
    <t>Car, truck, or van -- carpooled</t>
  </si>
  <si>
    <t>±0.5</t>
  </si>
  <si>
    <t>Public transportation (excluding taxicab)</t>
  </si>
  <si>
    <t>±0.2</t>
  </si>
  <si>
    <t>Walked</t>
  </si>
  <si>
    <t>Bicycle</t>
  </si>
  <si>
    <t>±0.1</t>
  </si>
  <si>
    <t>Taxicab, motorcycle, or other means</t>
  </si>
  <si>
    <t>Worked at home</t>
  </si>
  <si>
    <t>±0.3</t>
  </si>
  <si>
    <t>Non-SOV Travel to Work</t>
  </si>
  <si>
    <t>(X)</t>
  </si>
  <si>
    <t>Workers 16 years and over</t>
  </si>
  <si>
    <t>±24,346</t>
  </si>
  <si>
    <t>Workers per car, truck, or van</t>
  </si>
  <si>
    <t>±0.01</t>
  </si>
  <si>
    <t>Mean travel time to work (minutes)</t>
  </si>
  <si>
    <t>Conroe--The Woodlands, TX Urbanized Area (2010)</t>
  </si>
  <si>
    <t>±2.8</t>
  </si>
  <si>
    <t>±1.8</t>
  </si>
  <si>
    <t>±0.7</t>
  </si>
  <si>
    <t>±1.0</t>
  </si>
  <si>
    <t>±0.4</t>
  </si>
  <si>
    <t>±0.9</t>
  </si>
  <si>
    <t>±1.4</t>
  </si>
  <si>
    <t>±8,464</t>
  </si>
  <si>
    <t>Beaumont, TX Urbanized Area (2010)</t>
  </si>
  <si>
    <t>N</t>
  </si>
  <si>
    <t>±1.1</t>
  </si>
  <si>
    <t>*N = Sample size too small.</t>
  </si>
  <si>
    <t>Lake Jackson--Angleton, TX Urbanized Area (2010)</t>
  </si>
  <si>
    <t>±3.3</t>
  </si>
  <si>
    <t>Dallas--Fort Worth--Arlington, TX Urbanized Area (2010)</t>
  </si>
  <si>
    <t>±21,425</t>
  </si>
  <si>
    <t>Denton--Lewisville, TX Urbanized Area (2010)</t>
  </si>
  <si>
    <t>±2.3</t>
  </si>
  <si>
    <t>±2.1</t>
  </si>
  <si>
    <t>±1.2</t>
  </si>
  <si>
    <t>±7,370</t>
  </si>
  <si>
    <t>±0.02</t>
  </si>
  <si>
    <t>Austin, TX Urbanized Area (2010)</t>
  </si>
  <si>
    <t>±0.8</t>
  </si>
  <si>
    <t>±13,870</t>
  </si>
  <si>
    <t>San Antonio Urbanized Area (2010)</t>
  </si>
  <si>
    <t>±13,657</t>
  </si>
  <si>
    <t>El Paso, TX--NM Urbanized Area (2010)</t>
  </si>
  <si>
    <t>±1.6</t>
  </si>
  <si>
    <t>±8,604</t>
  </si>
  <si>
    <t>McAllen, TX Urbanized Area (2010)</t>
  </si>
  <si>
    <t>±8,010</t>
  </si>
  <si>
    <t>Source: S0801 COMMUTING CHARACTERISTICS BY SEX, U.S. Census Bureau, 2019 American Community Survey 
1-Year Estimates</t>
  </si>
  <si>
    <t>+/-0.6</t>
  </si>
  <si>
    <t>+/-0.4</t>
  </si>
  <si>
    <t>+/-0.2</t>
  </si>
  <si>
    <t>+/-0.1</t>
  </si>
  <si>
    <t>+/-0.3</t>
  </si>
  <si>
    <t>+/-23,631</t>
  </si>
  <si>
    <t>+/-0.01</t>
  </si>
  <si>
    <t>+/-2.6</t>
  </si>
  <si>
    <t>+/-1.9</t>
  </si>
  <si>
    <t>+/-0.5</t>
  </si>
  <si>
    <t>+/-2.1</t>
  </si>
  <si>
    <t>+/-7,369</t>
  </si>
  <si>
    <t>+/-1.7</t>
  </si>
  <si>
    <t>+/-2.2</t>
  </si>
  <si>
    <t>+/-1.8</t>
  </si>
  <si>
    <t>+/-0.7</t>
  </si>
  <si>
    <t>+/-1.2</t>
  </si>
  <si>
    <t>+/-1.0</t>
  </si>
  <si>
    <t>+/-4,289</t>
  </si>
  <si>
    <t>+/-1.1</t>
  </si>
  <si>
    <t>+/-2.0</t>
  </si>
  <si>
    <t>Source: S0801 COMMUTING CHARACTERISTICS BY SEX, U.S. Census Bureau, 2018 American Community Survey 
1-Year Estimates</t>
  </si>
  <si>
    <t>+/-18,382</t>
  </si>
  <si>
    <t>+/-1.6</t>
  </si>
  <si>
    <t>+/-0.9</t>
  </si>
  <si>
    <t>+/-5,446</t>
  </si>
  <si>
    <t>+/-0.8</t>
  </si>
  <si>
    <t>+/-11,423</t>
  </si>
  <si>
    <t>+/-12,628</t>
  </si>
  <si>
    <t>+/-1.3</t>
  </si>
  <si>
    <t>+/-8,538</t>
  </si>
  <si>
    <t>+/-1.4</t>
  </si>
  <si>
    <t>+/-7,326</t>
  </si>
  <si>
    <t>Percent NonSOV is the second part of Subpart G.  The first is PHED.  Only need Non SOV for DFW and Houston urbanized areas</t>
  </si>
  <si>
    <t>NEW UPDATED INFO</t>
  </si>
  <si>
    <t>Regulation: 490.703 and 490.707</t>
  </si>
  <si>
    <t>CATT Lab description of submittals.  See May 2018 stuff</t>
  </si>
  <si>
    <t>COMMUTING TO WORK</t>
  </si>
  <si>
    <t>Percent</t>
  </si>
  <si>
    <t>Percent Margin of Error</t>
  </si>
  <si>
    <t>http://www.cattlab.umd.edu/MAP-21</t>
  </si>
  <si>
    <t>+/-8,073</t>
  </si>
  <si>
    <t>+/-9,409</t>
  </si>
  <si>
    <t>Non-SOV data</t>
  </si>
  <si>
    <t>Transp Perf Measure – NON SOV description</t>
  </si>
  <si>
    <t>+/-5,624</t>
  </si>
  <si>
    <t>https://www.fhwa.dot.gov/tpm/rule/pm3/nonsov.pdf</t>
  </si>
  <si>
    <t>+/-2,218</t>
  </si>
  <si>
    <t>+/-1,731</t>
  </si>
  <si>
    <t>See pages 30 to 39 for discussion of PHED and Non-SOV</t>
  </si>
  <si>
    <t>Other means</t>
  </si>
  <si>
    <t>+/-2,140</t>
  </si>
  <si>
    <t xml:space="preserve">https://www.fhwa.dot.gov/tpm/rule/170601pm3.pdf </t>
  </si>
  <si>
    <t>+/-2,768</t>
  </si>
  <si>
    <t>FHWA Avg Veh Occ guidelines - use 1.7 persons/car</t>
  </si>
  <si>
    <t xml:space="preserve">https://www.fhwa.dot.gov/tpm/guidance/avo_factors.pdf </t>
  </si>
  <si>
    <t>(Original TTI calcs used 1.69)</t>
  </si>
  <si>
    <t>+/-2,411</t>
  </si>
  <si>
    <t>+/-2,523</t>
  </si>
  <si>
    <t>+/-1,189</t>
  </si>
  <si>
    <t>+/-361</t>
  </si>
  <si>
    <t>+/-453</t>
  </si>
  <si>
    <t>+/-387</t>
  </si>
  <si>
    <t>+/-802</t>
  </si>
  <si>
    <t>+/-1,521</t>
  </si>
  <si>
    <t>+/-1,552</t>
  </si>
  <si>
    <t>+/-543</t>
  </si>
  <si>
    <t>+/-165</t>
  </si>
  <si>
    <t>+/-168</t>
  </si>
  <si>
    <t>+/-241</t>
  </si>
  <si>
    <t>+/-227</t>
  </si>
  <si>
    <t>+/-1,113</t>
  </si>
  <si>
    <t>+/-1,026</t>
  </si>
  <si>
    <t>+/-732</t>
  </si>
  <si>
    <t>+/-116</t>
  </si>
  <si>
    <t>+/-138</t>
  </si>
  <si>
    <t>+/-173</t>
  </si>
  <si>
    <t>+/-145</t>
  </si>
  <si>
    <t>+/-7,936</t>
  </si>
  <si>
    <t>+/-8,148</t>
  </si>
  <si>
    <t>+/-4,481</t>
  </si>
  <si>
    <t>+/-1,881</t>
  </si>
  <si>
    <t>+/-1,643</t>
  </si>
  <si>
    <t>+/-1,640</t>
  </si>
  <si>
    <t>+/-2,970</t>
  </si>
  <si>
    <t>+/-2,173</t>
  </si>
  <si>
    <t>+/-2,246</t>
  </si>
  <si>
    <t>+/-1,333</t>
  </si>
  <si>
    <t>+/-414</t>
  </si>
  <si>
    <t>+/-492</t>
  </si>
  <si>
    <t>+/-360</t>
  </si>
  <si>
    <t>+/-899</t>
  </si>
  <si>
    <t xml:space="preserve"> 2017 NEW LOTTR - Annual Stats</t>
  </si>
  <si>
    <t xml:space="preserve"> 2017 NEW LOTTR - Daily Stats</t>
  </si>
  <si>
    <t xml:space="preserve"> Interstate </t>
  </si>
  <si>
    <t xml:space="preserve"> Non-Interstate </t>
  </si>
  <si>
    <t>Unreliable Annual PMT</t>
  </si>
  <si>
    <t>Reliable Annual PMT</t>
  </si>
  <si>
    <t>Total Annual PMT</t>
  </si>
  <si>
    <t>Summary Measures</t>
  </si>
  <si>
    <t>2017 NEW TTTR Measure</t>
  </si>
  <si>
    <t>Avg P95/P50</t>
  </si>
  <si>
    <t xml:space="preserve"> 2018 LOTTR - Annual Stats</t>
  </si>
  <si>
    <t xml:space="preserve"> 2018 LOTTR - Daily Stats</t>
  </si>
  <si>
    <t>2018 TTTR Measure</t>
  </si>
  <si>
    <t xml:space="preserve"> 2019 LOTTR - Annual Stats</t>
  </si>
  <si>
    <t xml:space="preserve"> 2019 LOTTR - Daily Stats</t>
  </si>
  <si>
    <t>2019 TTTR Measure</t>
  </si>
  <si>
    <t xml:space="preserve"> 2020 LOTTR - Annual Stats</t>
  </si>
  <si>
    <t xml:space="preserve"> 2020 LOTTR - Daily Stats</t>
  </si>
  <si>
    <t>Unreliable Daily PMT (ACTUAL DATA)</t>
  </si>
  <si>
    <t>Reliable Daily PMT (ACTUAL DATA)</t>
  </si>
  <si>
    <t>2020 TTTR Measure</t>
  </si>
  <si>
    <t xml:space="preserve"> 2021 LOTTR - Annual Stats</t>
  </si>
  <si>
    <t xml:space="preserve"> 2021 LOTTR - Daily Stats</t>
  </si>
  <si>
    <t>2021 TTTR Measure</t>
  </si>
  <si>
    <t>mpa2</t>
  </si>
  <si>
    <t>roadtype</t>
  </si>
  <si>
    <t>sumvmt16</t>
  </si>
  <si>
    <t>sumvmt15</t>
  </si>
  <si>
    <t>sumvmt11</t>
  </si>
  <si>
    <t>rate 15 to 16</t>
  </si>
  <si>
    <t>rate 11 to 16</t>
  </si>
  <si>
    <t>sumvmt18</t>
  </si>
  <si>
    <t>rate 11 to 18</t>
  </si>
  <si>
    <t>rate 16 to 18</t>
  </si>
  <si>
    <t>Abil</t>
  </si>
  <si>
    <t>IH</t>
  </si>
  <si>
    <t>NIH</t>
  </si>
  <si>
    <t>Amar</t>
  </si>
  <si>
    <t>Aust</t>
  </si>
  <si>
    <t>BCS</t>
  </si>
  <si>
    <t>Beau</t>
  </si>
  <si>
    <t>Brow</t>
  </si>
  <si>
    <t>CC</t>
  </si>
  <si>
    <t>DFW</t>
  </si>
  <si>
    <t>EP</t>
  </si>
  <si>
    <t>Harl</t>
  </si>
  <si>
    <t>Hida</t>
  </si>
  <si>
    <t>Hous</t>
  </si>
  <si>
    <t>Kill</t>
  </si>
  <si>
    <t>Lare</t>
  </si>
  <si>
    <t>Long</t>
  </si>
  <si>
    <t>Lubb</t>
  </si>
  <si>
    <t>M-O</t>
  </si>
  <si>
    <t>SAng</t>
  </si>
  <si>
    <t>SAnt</t>
  </si>
  <si>
    <t>Sher</t>
  </si>
  <si>
    <t>Texa</t>
  </si>
  <si>
    <t>Tyle</t>
  </si>
  <si>
    <t>Vict</t>
  </si>
  <si>
    <t>WF</t>
  </si>
  <si>
    <t>ZZZZ</t>
  </si>
  <si>
    <t xml:space="preserve"> 2017 LOTTR - Annual Stats</t>
  </si>
  <si>
    <t xml:space="preserve"> 2017 LOTTR - Daily Stats</t>
  </si>
  <si>
    <t>Interstate Total PMT Growth Calcs</t>
  </si>
  <si>
    <t>Non-Interstate Total PMT Growth Calcs</t>
  </si>
  <si>
    <t>Interstate Average Annual Growth Rates</t>
  </si>
  <si>
    <t>Non-Interstate Average Annual Growth Rates</t>
  </si>
  <si>
    <t>Total NHS PMT Annual Growth Rates</t>
  </si>
  <si>
    <t>Interstate</t>
  </si>
  <si>
    <t>Non-Interstate</t>
  </si>
  <si>
    <t>14 to 15</t>
  </si>
  <si>
    <t>15 to 16</t>
  </si>
  <si>
    <t>16 to 17</t>
  </si>
  <si>
    <t>14 to 17</t>
  </si>
  <si>
    <t>TTI Suggestion</t>
  </si>
  <si>
    <t>-</t>
  </si>
  <si>
    <t>2017 TTTR Measure</t>
  </si>
  <si>
    <t xml:space="preserve"> 2016 LOTTR </t>
  </si>
  <si>
    <t xml:space="preserve"> 2016 PMT</t>
  </si>
  <si>
    <t>2016 TTTR Measure</t>
  </si>
  <si>
    <t xml:space="preserve"> 2015 LOTTR </t>
  </si>
  <si>
    <t xml:space="preserve"> 2015 PMT</t>
  </si>
  <si>
    <t>2015 TTTR Measure</t>
  </si>
  <si>
    <t xml:space="preserve"> 2014 LOTTR </t>
  </si>
  <si>
    <t xml:space="preserve"> 2014 PMT</t>
  </si>
  <si>
    <t>2014 TTTR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</si>
</sst>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0_);\(0\)"/>
    <numFmt numFmtId="168" formatCode="0.000"/>
    <numFmt numFmtId="169" formatCode="_(* #,##0.0_);_(* \(#,##0.0\);_(* &quot;-&quot;??_);_(@_)"/>
    <numFmt numFmtId="170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222222"/>
      <name val="Arial"/>
      <family val="2"/>
    </font>
    <font>
      <b/>
      <sz val="9"/>
      <color rgb="FF000000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sz val="11"/>
      <color rgb="FF1F497D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Book Antiqua"/>
      <family val="1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E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gray0625">
        <bgColor theme="8" tint="0.79998168889431442"/>
      </patternFill>
    </fill>
    <fill>
      <patternFill patternType="gray0625"/>
    </fill>
    <fill>
      <patternFill patternType="darkUp">
        <bgColor theme="2" tint="-9.9978637043366805E-2"/>
      </patternFill>
    </fill>
    <fill>
      <patternFill patternType="gray0625">
        <bgColor theme="2" tint="-9.9978637043366805E-2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78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4" borderId="0" xfId="0" applyFont="1" applyFill="1"/>
    <xf numFmtId="3" fontId="0" fillId="4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1" applyNumberFormat="1" applyFont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vertical="center"/>
    </xf>
    <xf numFmtId="10" fontId="0" fillId="0" borderId="0" xfId="0" applyNumberFormat="1"/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 vertical="center" wrapText="1"/>
    </xf>
    <xf numFmtId="3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center" vertical="center"/>
    </xf>
    <xf numFmtId="0" fontId="2" fillId="0" borderId="0" xfId="0" applyFont="1"/>
    <xf numFmtId="0" fontId="0" fillId="4" borderId="0" xfId="0" applyFill="1"/>
    <xf numFmtId="164" fontId="0" fillId="4" borderId="0" xfId="1" applyNumberFormat="1" applyFont="1" applyFill="1" applyAlignment="1">
      <alignment horizontal="center"/>
    </xf>
    <xf numFmtId="0" fontId="5" fillId="0" borderId="0" xfId="0" applyFont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4" borderId="0" xfId="1" applyNumberFormat="1" applyFont="1" applyFill="1"/>
    <xf numFmtId="3" fontId="0" fillId="4" borderId="0" xfId="0" applyNumberFormat="1" applyFill="1"/>
    <xf numFmtId="3" fontId="0" fillId="4" borderId="0" xfId="0" applyNumberFormat="1" applyFill="1" applyAlignment="1">
      <alignment horizontal="left" inden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indent="1"/>
    </xf>
    <xf numFmtId="164" fontId="0" fillId="4" borderId="0" xfId="0" applyNumberForma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164" fontId="4" fillId="0" borderId="0" xfId="1" applyNumberFormat="1" applyFont="1" applyAlignment="1">
      <alignment horizontal="center" vertical="center"/>
    </xf>
    <xf numFmtId="166" fontId="0" fillId="4" borderId="0" xfId="0" applyNumberFormat="1" applyFill="1"/>
    <xf numFmtId="166" fontId="0" fillId="0" borderId="0" xfId="0" applyNumberFormat="1"/>
    <xf numFmtId="4" fontId="0" fillId="4" borderId="0" xfId="0" applyNumberFormat="1" applyFill="1"/>
    <xf numFmtId="4" fontId="0" fillId="0" borderId="0" xfId="0" applyNumberFormat="1"/>
    <xf numFmtId="165" fontId="0" fillId="0" borderId="0" xfId="3" applyNumberFormat="1" applyFont="1"/>
    <xf numFmtId="165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4" xfId="0" applyFont="1" applyBorder="1" applyAlignment="1">
      <alignment horizontal="left" vertical="center" wrapText="1"/>
    </xf>
    <xf numFmtId="0" fontId="0" fillId="5" borderId="14" xfId="0" applyFill="1" applyBorder="1"/>
    <xf numFmtId="43" fontId="0" fillId="0" borderId="0" xfId="0" applyNumberFormat="1"/>
    <xf numFmtId="0" fontId="4" fillId="0" borderId="4" xfId="0" applyFont="1" applyBorder="1"/>
    <xf numFmtId="9" fontId="0" fillId="4" borderId="0" xfId="0" applyNumberFormat="1" applyFill="1"/>
    <xf numFmtId="3" fontId="0" fillId="4" borderId="0" xfId="3" applyNumberFormat="1" applyFont="1" applyFill="1" applyAlignment="1">
      <alignment horizontal="center"/>
    </xf>
    <xf numFmtId="3" fontId="0" fillId="3" borderId="14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right" vertical="center"/>
    </xf>
    <xf numFmtId="0" fontId="0" fillId="0" borderId="5" xfId="0" applyBorder="1"/>
    <xf numFmtId="0" fontId="0" fillId="0" borderId="8" xfId="0" applyBorder="1"/>
    <xf numFmtId="9" fontId="0" fillId="2" borderId="14" xfId="1" applyFont="1" applyFill="1" applyBorder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3" fontId="0" fillId="7" borderId="14" xfId="0" applyNumberFormat="1" applyFill="1" applyBorder="1" applyAlignment="1">
      <alignment horizontal="right" vertical="center"/>
    </xf>
    <xf numFmtId="3" fontId="0" fillId="7" borderId="15" xfId="0" applyNumberFormat="1" applyFill="1" applyBorder="1" applyAlignment="1">
      <alignment horizontal="right" vertical="center"/>
    </xf>
    <xf numFmtId="165" fontId="0" fillId="0" borderId="0" xfId="0" applyNumberFormat="1" applyAlignment="1">
      <alignment horizontal="left" indent="1"/>
    </xf>
    <xf numFmtId="165" fontId="0" fillId="0" borderId="0" xfId="0" applyNumberFormat="1"/>
    <xf numFmtId="0" fontId="10" fillId="0" borderId="0" xfId="0" applyFont="1"/>
    <xf numFmtId="0" fontId="11" fillId="0" borderId="0" xfId="0" applyFont="1"/>
    <xf numFmtId="3" fontId="0" fillId="0" borderId="0" xfId="0" applyNumberFormat="1" applyAlignment="1">
      <alignment horizontal="right" vertical="center"/>
    </xf>
    <xf numFmtId="165" fontId="0" fillId="0" borderId="0" xfId="3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1" fillId="0" borderId="0" xfId="3" applyNumberFormat="1" applyFont="1" applyBorder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3" applyNumberFormat="1" applyFont="1" applyAlignment="1">
      <alignment horizontal="right"/>
    </xf>
    <xf numFmtId="0" fontId="4" fillId="0" borderId="0" xfId="0" applyFont="1" applyAlignment="1">
      <alignment vertical="center"/>
    </xf>
    <xf numFmtId="9" fontId="0" fillId="0" borderId="0" xfId="1" applyFont="1"/>
    <xf numFmtId="9" fontId="0" fillId="4" borderId="0" xfId="1" applyFont="1" applyFill="1"/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horizontal="center" vertical="center" wrapText="1"/>
    </xf>
    <xf numFmtId="9" fontId="4" fillId="0" borderId="0" xfId="1" applyFont="1"/>
    <xf numFmtId="9" fontId="0" fillId="0" borderId="0" xfId="1" applyFont="1" applyAlignment="1">
      <alignment vertical="center"/>
    </xf>
    <xf numFmtId="165" fontId="0" fillId="8" borderId="0" xfId="0" applyNumberFormat="1" applyFill="1"/>
    <xf numFmtId="165" fontId="0" fillId="0" borderId="0" xfId="3" applyNumberFormat="1" applyFont="1" applyAlignment="1">
      <alignment horizontal="right" vertical="center"/>
    </xf>
    <xf numFmtId="3" fontId="0" fillId="8" borderId="0" xfId="0" applyNumberFormat="1" applyFill="1"/>
    <xf numFmtId="0" fontId="0" fillId="10" borderId="0" xfId="0" applyFill="1"/>
    <xf numFmtId="3" fontId="0" fillId="10" borderId="0" xfId="0" applyNumberFormat="1" applyFill="1"/>
    <xf numFmtId="164" fontId="0" fillId="10" borderId="0" xfId="1" applyNumberFormat="1" applyFont="1" applyFill="1"/>
    <xf numFmtId="0" fontId="0" fillId="0" borderId="0" xfId="0" applyAlignment="1">
      <alignment horizontal="center" vertical="center" wrapText="1"/>
    </xf>
    <xf numFmtId="165" fontId="0" fillId="0" borderId="0" xfId="3" applyNumberFormat="1" applyFont="1" applyFill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0" xfId="0" applyNumberFormat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/>
    </xf>
    <xf numFmtId="9" fontId="0" fillId="2" borderId="14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2" borderId="15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5" fontId="0" fillId="0" borderId="0" xfId="3" applyNumberFormat="1" applyFont="1" applyFill="1" applyBorder="1"/>
    <xf numFmtId="165" fontId="0" fillId="0" borderId="16" xfId="3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 vertical="center"/>
    </xf>
    <xf numFmtId="0" fontId="0" fillId="12" borderId="0" xfId="0" applyFill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4" fillId="9" borderId="2" xfId="0" applyNumberFormat="1" applyFont="1" applyFill="1" applyBorder="1" applyAlignment="1">
      <alignment horizontal="center" vertical="center" wrapText="1"/>
    </xf>
    <xf numFmtId="3" fontId="0" fillId="9" borderId="0" xfId="0" applyNumberFormat="1" applyFill="1" applyAlignment="1">
      <alignment horizontal="center"/>
    </xf>
    <xf numFmtId="3" fontId="0" fillId="9" borderId="11" xfId="0" applyNumberFormat="1" applyFill="1" applyBorder="1" applyAlignment="1">
      <alignment horizontal="center"/>
    </xf>
    <xf numFmtId="165" fontId="0" fillId="12" borderId="0" xfId="3" applyNumberFormat="1" applyFont="1" applyFill="1" applyBorder="1"/>
    <xf numFmtId="0" fontId="18" fillId="13" borderId="0" xfId="0" applyFont="1" applyFill="1" applyAlignment="1">
      <alignment horizontal="left" vertical="center" wrapText="1"/>
    </xf>
    <xf numFmtId="0" fontId="19" fillId="13" borderId="0" xfId="0" applyFont="1" applyFill="1" applyAlignment="1">
      <alignment horizontal="center" wrapText="1"/>
    </xf>
    <xf numFmtId="0" fontId="18" fillId="14" borderId="0" xfId="0" applyFont="1" applyFill="1" applyAlignment="1">
      <alignment horizontal="left" vertical="center" wrapText="1" indent="1"/>
    </xf>
    <xf numFmtId="3" fontId="20" fillId="14" borderId="0" xfId="0" applyNumberFormat="1" applyFont="1" applyFill="1" applyAlignment="1">
      <alignment horizontal="right" vertical="center"/>
    </xf>
    <xf numFmtId="0" fontId="20" fillId="14" borderId="0" xfId="0" applyFont="1" applyFill="1" applyAlignment="1">
      <alignment horizontal="right" vertical="center"/>
    </xf>
    <xf numFmtId="0" fontId="18" fillId="13" borderId="0" xfId="0" applyFont="1" applyFill="1" applyAlignment="1">
      <alignment horizontal="left" vertical="center" wrapText="1" indent="1"/>
    </xf>
    <xf numFmtId="3" fontId="20" fillId="13" borderId="0" xfId="0" applyNumberFormat="1" applyFont="1" applyFill="1" applyAlignment="1">
      <alignment horizontal="right" vertical="center"/>
    </xf>
    <xf numFmtId="0" fontId="20" fillId="13" borderId="0" xfId="0" applyFont="1" applyFill="1" applyAlignment="1">
      <alignment horizontal="right" vertical="center"/>
    </xf>
    <xf numFmtId="10" fontId="20" fillId="13" borderId="0" xfId="0" applyNumberFormat="1" applyFont="1" applyFill="1" applyAlignment="1">
      <alignment horizontal="right" vertical="center"/>
    </xf>
    <xf numFmtId="10" fontId="20" fillId="14" borderId="0" xfId="0" applyNumberFormat="1" applyFont="1" applyFill="1" applyAlignment="1">
      <alignment horizontal="right" vertical="center"/>
    </xf>
    <xf numFmtId="164" fontId="0" fillId="0" borderId="0" xfId="0" applyNumberFormat="1"/>
    <xf numFmtId="164" fontId="11" fillId="11" borderId="0" xfId="0" applyNumberFormat="1" applyFont="1" applyFill="1"/>
    <xf numFmtId="0" fontId="21" fillId="14" borderId="0" xfId="0" applyFont="1" applyFill="1" applyAlignment="1">
      <alignment horizontal="right" vertical="center"/>
    </xf>
    <xf numFmtId="0" fontId="22" fillId="13" borderId="0" xfId="0" applyFont="1" applyFill="1" applyAlignment="1">
      <alignment horizontal="left" vertical="center" wrapText="1"/>
    </xf>
    <xf numFmtId="0" fontId="22" fillId="14" borderId="0" xfId="0" applyFont="1" applyFill="1" applyAlignment="1">
      <alignment horizontal="left" vertical="center" wrapText="1" indent="1"/>
    </xf>
    <xf numFmtId="3" fontId="21" fillId="14" borderId="0" xfId="0" applyNumberFormat="1" applyFont="1" applyFill="1" applyAlignment="1">
      <alignment horizontal="right" vertical="center"/>
    </xf>
    <xf numFmtId="0" fontId="22" fillId="13" borderId="0" xfId="0" applyFont="1" applyFill="1" applyAlignment="1">
      <alignment horizontal="left" vertical="center" wrapText="1" indent="1"/>
    </xf>
    <xf numFmtId="3" fontId="21" fillId="13" borderId="0" xfId="0" applyNumberFormat="1" applyFont="1" applyFill="1" applyAlignment="1">
      <alignment horizontal="right" vertical="center"/>
    </xf>
    <xf numFmtId="0" fontId="21" fillId="13" borderId="0" xfId="0" applyFont="1" applyFill="1" applyAlignment="1">
      <alignment horizontal="right" vertical="center"/>
    </xf>
    <xf numFmtId="10" fontId="21" fillId="13" borderId="0" xfId="0" applyNumberFormat="1" applyFont="1" applyFill="1" applyAlignment="1">
      <alignment horizontal="right" vertical="center"/>
    </xf>
    <xf numFmtId="10" fontId="21" fillId="14" borderId="0" xfId="0" applyNumberFormat="1" applyFont="1" applyFill="1" applyAlignment="1">
      <alignment horizontal="right" vertical="center"/>
    </xf>
    <xf numFmtId="0" fontId="19" fillId="13" borderId="0" xfId="0" applyFont="1" applyFill="1" applyAlignment="1">
      <alignment horizontal="right" wrapText="1"/>
    </xf>
    <xf numFmtId="164" fontId="0" fillId="11" borderId="0" xfId="0" applyNumberFormat="1" applyFill="1"/>
    <xf numFmtId="0" fontId="23" fillId="0" borderId="0" xfId="0" applyFont="1" applyAlignment="1">
      <alignment vertical="center"/>
    </xf>
    <xf numFmtId="0" fontId="24" fillId="0" borderId="0" xfId="4" applyAlignment="1">
      <alignment vertical="center"/>
    </xf>
    <xf numFmtId="164" fontId="11" fillId="6" borderId="0" xfId="0" applyNumberFormat="1" applyFont="1" applyFill="1"/>
    <xf numFmtId="164" fontId="0" fillId="6" borderId="0" xfId="0" applyNumberFormat="1" applyFill="1"/>
    <xf numFmtId="3" fontId="0" fillId="11" borderId="14" xfId="0" applyNumberFormat="1" applyFill="1" applyBorder="1" applyAlignment="1">
      <alignment horizontal="right" vertical="center"/>
    </xf>
    <xf numFmtId="3" fontId="4" fillId="11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3" fontId="0" fillId="11" borderId="15" xfId="0" applyNumberForma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9" fontId="0" fillId="6" borderId="14" xfId="1" applyFont="1" applyFill="1" applyBorder="1"/>
    <xf numFmtId="0" fontId="4" fillId="6" borderId="4" xfId="0" applyFont="1" applyFill="1" applyBorder="1" applyAlignment="1">
      <alignment horizontal="center" vertical="center" wrapText="1"/>
    </xf>
    <xf numFmtId="0" fontId="24" fillId="0" borderId="0" xfId="4"/>
    <xf numFmtId="164" fontId="0" fillId="0" borderId="0" xfId="1" applyNumberFormat="1" applyFont="1" applyFill="1" applyAlignment="1">
      <alignment horizontal="center" vertical="center"/>
    </xf>
    <xf numFmtId="165" fontId="0" fillId="0" borderId="0" xfId="3" applyNumberFormat="1" applyFont="1" applyFill="1"/>
    <xf numFmtId="3" fontId="4" fillId="7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15" borderId="4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9" fontId="0" fillId="15" borderId="9" xfId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3" fontId="0" fillId="15" borderId="0" xfId="1" applyNumberFormat="1" applyFont="1" applyFill="1" applyBorder="1" applyAlignment="1">
      <alignment horizontal="center"/>
    </xf>
    <xf numFmtId="164" fontId="0" fillId="15" borderId="7" xfId="1" applyNumberFormat="1" applyFont="1" applyFill="1" applyBorder="1" applyAlignment="1">
      <alignment horizontal="center"/>
    </xf>
    <xf numFmtId="164" fontId="0" fillId="15" borderId="9" xfId="1" applyNumberFormat="1" applyFont="1" applyFill="1" applyBorder="1" applyAlignment="1">
      <alignment horizontal="center"/>
    </xf>
    <xf numFmtId="164" fontId="0" fillId="15" borderId="12" xfId="1" applyNumberFormat="1" applyFont="1" applyFill="1" applyBorder="1" applyAlignment="1">
      <alignment horizontal="center"/>
    </xf>
    <xf numFmtId="3" fontId="0" fillId="15" borderId="11" xfId="1" applyNumberFormat="1" applyFont="1" applyFill="1" applyBorder="1" applyAlignment="1">
      <alignment horizontal="center"/>
    </xf>
    <xf numFmtId="3" fontId="0" fillId="15" borderId="5" xfId="0" applyNumberFormat="1" applyFill="1" applyBorder="1" applyAlignment="1">
      <alignment horizontal="right"/>
    </xf>
    <xf numFmtId="3" fontId="0" fillId="15" borderId="6" xfId="0" applyNumberFormat="1" applyFill="1" applyBorder="1" applyAlignment="1">
      <alignment horizontal="right"/>
    </xf>
    <xf numFmtId="3" fontId="0" fillId="15" borderId="0" xfId="0" applyNumberFormat="1" applyFill="1" applyAlignment="1">
      <alignment horizontal="right"/>
    </xf>
    <xf numFmtId="3" fontId="0" fillId="15" borderId="8" xfId="0" applyNumberFormat="1" applyFill="1" applyBorder="1" applyAlignment="1">
      <alignment horizontal="right"/>
    </xf>
    <xf numFmtId="3" fontId="0" fillId="15" borderId="10" xfId="0" applyNumberFormat="1" applyFill="1" applyBorder="1" applyAlignment="1">
      <alignment horizontal="right"/>
    </xf>
    <xf numFmtId="0" fontId="4" fillId="15" borderId="7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/>
    </xf>
    <xf numFmtId="4" fontId="0" fillId="15" borderId="14" xfId="0" applyNumberFormat="1" applyFill="1" applyBorder="1" applyAlignment="1">
      <alignment horizontal="center" vertical="center"/>
    </xf>
    <xf numFmtId="165" fontId="0" fillId="15" borderId="8" xfId="3" applyNumberFormat="1" applyFont="1" applyFill="1" applyBorder="1" applyAlignment="1">
      <alignment horizontal="center" vertical="center"/>
    </xf>
    <xf numFmtId="165" fontId="0" fillId="15" borderId="0" xfId="3" applyNumberFormat="1" applyFont="1" applyFill="1" applyBorder="1" applyAlignment="1">
      <alignment horizontal="center" vertical="center"/>
    </xf>
    <xf numFmtId="43" fontId="0" fillId="15" borderId="9" xfId="3" applyFont="1" applyFill="1" applyBorder="1" applyAlignment="1">
      <alignment horizontal="center" vertical="center"/>
    </xf>
    <xf numFmtId="165" fontId="0" fillId="15" borderId="10" xfId="3" applyNumberFormat="1" applyFont="1" applyFill="1" applyBorder="1" applyAlignment="1">
      <alignment horizontal="center" vertical="center"/>
    </xf>
    <xf numFmtId="165" fontId="0" fillId="15" borderId="11" xfId="3" applyNumberFormat="1" applyFont="1" applyFill="1" applyBorder="1" applyAlignment="1">
      <alignment horizontal="center" vertical="center"/>
    </xf>
    <xf numFmtId="43" fontId="0" fillId="15" borderId="12" xfId="3" applyFont="1" applyFill="1" applyBorder="1" applyAlignment="1">
      <alignment horizontal="center" vertical="center"/>
    </xf>
    <xf numFmtId="3" fontId="0" fillId="15" borderId="14" xfId="0" applyNumberFormat="1" applyFill="1" applyBorder="1" applyAlignment="1">
      <alignment horizontal="right" vertical="center"/>
    </xf>
    <xf numFmtId="3" fontId="0" fillId="15" borderId="15" xfId="0" applyNumberFormat="1" applyFill="1" applyBorder="1" applyAlignment="1">
      <alignment horizontal="right" vertical="center"/>
    </xf>
    <xf numFmtId="3" fontId="0" fillId="15" borderId="14" xfId="0" applyNumberFormat="1" applyFill="1" applyBorder="1" applyAlignment="1">
      <alignment horizontal="center" vertical="center"/>
    </xf>
    <xf numFmtId="3" fontId="0" fillId="15" borderId="15" xfId="0" applyNumberFormat="1" applyFill="1" applyBorder="1" applyAlignment="1">
      <alignment horizontal="center" vertical="center"/>
    </xf>
    <xf numFmtId="3" fontId="4" fillId="15" borderId="4" xfId="0" applyNumberFormat="1" applyFont="1" applyFill="1" applyBorder="1" applyAlignment="1">
      <alignment horizontal="center" vertical="center" wrapText="1"/>
    </xf>
    <xf numFmtId="3" fontId="4" fillId="15" borderId="4" xfId="0" applyNumberFormat="1" applyFont="1" applyFill="1" applyBorder="1" applyAlignment="1">
      <alignment horizontal="center" vertical="center"/>
    </xf>
    <xf numFmtId="0" fontId="0" fillId="15" borderId="0" xfId="0" applyFill="1"/>
    <xf numFmtId="3" fontId="0" fillId="15" borderId="0" xfId="0" applyNumberFormat="1" applyFill="1"/>
    <xf numFmtId="3" fontId="0" fillId="15" borderId="0" xfId="3" applyNumberFormat="1" applyFont="1" applyFill="1"/>
    <xf numFmtId="43" fontId="0" fillId="0" borderId="0" xfId="3" applyFont="1"/>
    <xf numFmtId="165" fontId="0" fillId="10" borderId="0" xfId="3" applyNumberFormat="1" applyFont="1" applyFill="1"/>
    <xf numFmtId="0" fontId="30" fillId="16" borderId="0" xfId="0" applyFont="1" applyFill="1" applyAlignment="1">
      <alignment horizontal="left" wrapText="1"/>
    </xf>
    <xf numFmtId="0" fontId="19" fillId="16" borderId="0" xfId="0" applyFont="1" applyFill="1" applyAlignment="1">
      <alignment horizontal="center" wrapText="1"/>
    </xf>
    <xf numFmtId="0" fontId="18" fillId="16" borderId="0" xfId="0" applyFont="1" applyFill="1" applyAlignment="1">
      <alignment horizontal="left" vertical="center" wrapText="1" indent="1"/>
    </xf>
    <xf numFmtId="10" fontId="20" fillId="16" borderId="0" xfId="0" applyNumberFormat="1" applyFont="1" applyFill="1" applyAlignment="1">
      <alignment horizontal="right" vertical="center"/>
    </xf>
    <xf numFmtId="0" fontId="20" fillId="16" borderId="0" xfId="0" applyFont="1" applyFill="1" applyAlignment="1">
      <alignment horizontal="right" vertical="center"/>
    </xf>
    <xf numFmtId="0" fontId="30" fillId="16" borderId="0" xfId="0" applyFont="1" applyFill="1" applyAlignment="1">
      <alignment horizontal="left" vertical="center" wrapText="1"/>
    </xf>
    <xf numFmtId="10" fontId="20" fillId="17" borderId="0" xfId="0" applyNumberFormat="1" applyFont="1" applyFill="1" applyAlignment="1">
      <alignment horizontal="right" vertical="center"/>
    </xf>
    <xf numFmtId="165" fontId="20" fillId="16" borderId="0" xfId="3" applyNumberFormat="1" applyFont="1" applyFill="1" applyAlignment="1">
      <alignment horizontal="right" vertical="center"/>
    </xf>
    <xf numFmtId="0" fontId="30" fillId="18" borderId="0" xfId="0" applyFont="1" applyFill="1" applyAlignment="1">
      <alignment horizontal="left" vertical="center" wrapText="1"/>
    </xf>
    <xf numFmtId="0" fontId="20" fillId="18" borderId="0" xfId="0" applyFont="1" applyFill="1" applyAlignment="1">
      <alignment horizontal="right" vertical="center"/>
    </xf>
    <xf numFmtId="0" fontId="31" fillId="18" borderId="0" xfId="0" applyFont="1" applyFill="1" applyAlignment="1">
      <alignment horizontal="left" vertical="center" wrapText="1"/>
    </xf>
    <xf numFmtId="0" fontId="14" fillId="18" borderId="0" xfId="0" applyFont="1" applyFill="1"/>
    <xf numFmtId="0" fontId="26" fillId="0" borderId="0" xfId="0" applyFont="1" applyAlignment="1">
      <alignment wrapText="1"/>
    </xf>
    <xf numFmtId="0" fontId="4" fillId="9" borderId="2" xfId="0" applyFont="1" applyFill="1" applyBorder="1" applyAlignment="1">
      <alignment horizontal="center" vertical="center" wrapText="1"/>
    </xf>
    <xf numFmtId="0" fontId="14" fillId="19" borderId="0" xfId="0" applyFont="1" applyFill="1" applyAlignment="1">
      <alignment horizontal="center" vertical="center"/>
    </xf>
    <xf numFmtId="0" fontId="26" fillId="19" borderId="0" xfId="0" applyFont="1" applyFill="1" applyAlignment="1">
      <alignment horizontal="left" vertical="center"/>
    </xf>
    <xf numFmtId="0" fontId="26" fillId="19" borderId="0" xfId="0" applyFont="1" applyFill="1" applyAlignment="1">
      <alignment horizontal="center" vertical="center"/>
    </xf>
    <xf numFmtId="0" fontId="27" fillId="19" borderId="0" xfId="0" applyFont="1" applyFill="1" applyAlignment="1">
      <alignment horizontal="center" vertical="center"/>
    </xf>
    <xf numFmtId="0" fontId="27" fillId="19" borderId="21" xfId="0" applyFont="1" applyFill="1" applyBorder="1" applyAlignment="1">
      <alignment horizontal="center" vertical="center" wrapText="1"/>
    </xf>
    <xf numFmtId="0" fontId="27" fillId="19" borderId="22" xfId="0" applyFont="1" applyFill="1" applyBorder="1" applyAlignment="1">
      <alignment horizontal="center" vertical="center" wrapText="1"/>
    </xf>
    <xf numFmtId="0" fontId="27" fillId="19" borderId="23" xfId="0" applyFont="1" applyFill="1" applyBorder="1" applyAlignment="1">
      <alignment horizontal="center" vertical="center" wrapText="1"/>
    </xf>
    <xf numFmtId="0" fontId="26" fillId="19" borderId="0" xfId="0" applyFont="1" applyFill="1" applyAlignment="1">
      <alignment horizontal="center" vertical="center" wrapText="1"/>
    </xf>
    <xf numFmtId="9" fontId="26" fillId="19" borderId="17" xfId="0" applyNumberFormat="1" applyFont="1" applyFill="1" applyBorder="1" applyAlignment="1">
      <alignment horizontal="center" vertical="center"/>
    </xf>
    <xf numFmtId="1" fontId="26" fillId="19" borderId="17" xfId="0" applyNumberFormat="1" applyFont="1" applyFill="1" applyBorder="1" applyAlignment="1">
      <alignment horizontal="center" vertical="center"/>
    </xf>
    <xf numFmtId="0" fontId="15" fillId="19" borderId="0" xfId="0" applyFont="1" applyFill="1" applyAlignment="1">
      <alignment horizontal="left" vertical="center"/>
    </xf>
    <xf numFmtId="0" fontId="15" fillId="19" borderId="0" xfId="0" applyFont="1" applyFill="1" applyAlignment="1">
      <alignment horizontal="center" vertical="center"/>
    </xf>
    <xf numFmtId="0" fontId="26" fillId="19" borderId="18" xfId="0" applyFont="1" applyFill="1" applyBorder="1"/>
    <xf numFmtId="43" fontId="26" fillId="19" borderId="17" xfId="0" applyNumberFormat="1" applyFont="1" applyFill="1" applyBorder="1" applyAlignment="1">
      <alignment horizontal="center" vertical="center"/>
    </xf>
    <xf numFmtId="0" fontId="26" fillId="19" borderId="17" xfId="0" applyFont="1" applyFill="1" applyBorder="1" applyAlignment="1">
      <alignment horizontal="center" vertical="center"/>
    </xf>
    <xf numFmtId="0" fontId="26" fillId="19" borderId="19" xfId="0" applyFont="1" applyFill="1" applyBorder="1"/>
    <xf numFmtId="0" fontId="27" fillId="19" borderId="20" xfId="0" applyFont="1" applyFill="1" applyBorder="1"/>
    <xf numFmtId="0" fontId="27" fillId="19" borderId="17" xfId="0" applyFont="1" applyFill="1" applyBorder="1" applyAlignment="1">
      <alignment horizontal="center" vertical="center"/>
    </xf>
    <xf numFmtId="0" fontId="14" fillId="19" borderId="0" xfId="0" applyFont="1" applyFill="1" applyAlignment="1">
      <alignment horizontal="left" vertical="center"/>
    </xf>
    <xf numFmtId="0" fontId="4" fillId="6" borderId="1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165" fontId="0" fillId="6" borderId="8" xfId="3" applyNumberFormat="1" applyFont="1" applyFill="1" applyBorder="1"/>
    <xf numFmtId="165" fontId="0" fillId="6" borderId="9" xfId="3" applyNumberFormat="1" applyFont="1" applyFill="1" applyBorder="1"/>
    <xf numFmtId="165" fontId="0" fillId="6" borderId="10" xfId="3" applyNumberFormat="1" applyFont="1" applyFill="1" applyBorder="1"/>
    <xf numFmtId="165" fontId="0" fillId="6" borderId="12" xfId="3" applyNumberFormat="1" applyFont="1" applyFill="1" applyBorder="1"/>
    <xf numFmtId="1" fontId="0" fillId="6" borderId="8" xfId="3" applyNumberFormat="1" applyFont="1" applyFill="1" applyBorder="1" applyAlignment="1">
      <alignment horizontal="center" vertical="center"/>
    </xf>
    <xf numFmtId="1" fontId="0" fillId="6" borderId="14" xfId="3" applyNumberFormat="1" applyFont="1" applyFill="1" applyBorder="1" applyAlignment="1">
      <alignment horizontal="center" vertical="center"/>
    </xf>
    <xf numFmtId="9" fontId="27" fillId="19" borderId="17" xfId="0" applyNumberFormat="1" applyFont="1" applyFill="1" applyBorder="1" applyAlignment="1">
      <alignment horizontal="center" vertical="center"/>
    </xf>
    <xf numFmtId="43" fontId="27" fillId="19" borderId="17" xfId="0" applyNumberFormat="1" applyFont="1" applyFill="1" applyBorder="1" applyAlignment="1">
      <alignment horizontal="center" vertical="center"/>
    </xf>
    <xf numFmtId="0" fontId="16" fillId="19" borderId="0" xfId="0" applyFont="1" applyFill="1" applyAlignment="1">
      <alignment horizontal="center" vertical="center"/>
    </xf>
    <xf numFmtId="164" fontId="0" fillId="15" borderId="0" xfId="1" applyNumberFormat="1" applyFont="1" applyFill="1" applyBorder="1" applyAlignment="1">
      <alignment horizontal="center"/>
    </xf>
    <xf numFmtId="165" fontId="0" fillId="4" borderId="0" xfId="3" applyNumberFormat="1" applyFont="1" applyFill="1"/>
    <xf numFmtId="3" fontId="0" fillId="15" borderId="28" xfId="1" applyNumberFormat="1" applyFont="1" applyFill="1" applyBorder="1" applyAlignment="1">
      <alignment horizontal="center"/>
    </xf>
    <xf numFmtId="3" fontId="0" fillId="15" borderId="29" xfId="1" applyNumberFormat="1" applyFont="1" applyFill="1" applyBorder="1" applyAlignment="1">
      <alignment horizontal="center"/>
    </xf>
    <xf numFmtId="164" fontId="0" fillId="15" borderId="30" xfId="1" applyNumberFormat="1" applyFont="1" applyFill="1" applyBorder="1" applyAlignment="1">
      <alignment horizontal="center"/>
    </xf>
    <xf numFmtId="164" fontId="0" fillId="15" borderId="29" xfId="1" applyNumberFormat="1" applyFont="1" applyFill="1" applyBorder="1" applyAlignment="1">
      <alignment horizontal="center"/>
    </xf>
    <xf numFmtId="3" fontId="0" fillId="8" borderId="14" xfId="0" applyNumberFormat="1" applyFill="1" applyBorder="1" applyAlignment="1">
      <alignment horizontal="right" vertical="center"/>
    </xf>
    <xf numFmtId="0" fontId="4" fillId="8" borderId="4" xfId="0" applyFont="1" applyFill="1" applyBorder="1" applyAlignment="1">
      <alignment horizontal="center" vertical="center" wrapText="1"/>
    </xf>
    <xf numFmtId="3" fontId="0" fillId="8" borderId="15" xfId="0" applyNumberFormat="1" applyFill="1" applyBorder="1" applyAlignment="1">
      <alignment horizontal="right" vertical="center"/>
    </xf>
    <xf numFmtId="3" fontId="4" fillId="8" borderId="4" xfId="0" applyNumberFormat="1" applyFont="1" applyFill="1" applyBorder="1" applyAlignment="1">
      <alignment horizontal="center" vertical="center" wrapText="1"/>
    </xf>
    <xf numFmtId="9" fontId="0" fillId="6" borderId="0" xfId="1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3" fontId="4" fillId="20" borderId="2" xfId="0" applyNumberFormat="1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3" fontId="0" fillId="20" borderId="5" xfId="0" applyNumberFormat="1" applyFill="1" applyBorder="1" applyAlignment="1">
      <alignment horizontal="right"/>
    </xf>
    <xf numFmtId="3" fontId="0" fillId="20" borderId="0" xfId="0" applyNumberFormat="1" applyFill="1" applyAlignment="1">
      <alignment horizontal="center"/>
    </xf>
    <xf numFmtId="3" fontId="0" fillId="20" borderId="0" xfId="0" applyNumberFormat="1" applyFill="1" applyAlignment="1">
      <alignment horizontal="right"/>
    </xf>
    <xf numFmtId="3" fontId="0" fillId="20" borderId="6" xfId="0" applyNumberFormat="1" applyFill="1" applyBorder="1" applyAlignment="1">
      <alignment horizontal="right"/>
    </xf>
    <xf numFmtId="164" fontId="0" fillId="20" borderId="7" xfId="1" applyNumberFormat="1" applyFont="1" applyFill="1" applyBorder="1" applyAlignment="1">
      <alignment horizontal="center"/>
    </xf>
    <xf numFmtId="3" fontId="0" fillId="20" borderId="8" xfId="0" applyNumberFormat="1" applyFill="1" applyBorder="1" applyAlignment="1">
      <alignment horizontal="right"/>
    </xf>
    <xf numFmtId="164" fontId="0" fillId="20" borderId="9" xfId="1" applyNumberFormat="1" applyFont="1" applyFill="1" applyBorder="1" applyAlignment="1">
      <alignment horizontal="center"/>
    </xf>
    <xf numFmtId="3" fontId="0" fillId="20" borderId="10" xfId="0" applyNumberFormat="1" applyFill="1" applyBorder="1" applyAlignment="1">
      <alignment horizontal="right"/>
    </xf>
    <xf numFmtId="0" fontId="4" fillId="20" borderId="1" xfId="0" applyFont="1" applyFill="1" applyBorder="1" applyAlignment="1">
      <alignment horizontal="center" vertical="center" wrapText="1"/>
    </xf>
    <xf numFmtId="3" fontId="4" fillId="20" borderId="2" xfId="0" applyNumberFormat="1" applyFont="1" applyFill="1" applyBorder="1" applyAlignment="1">
      <alignment horizontal="center" vertical="center"/>
    </xf>
    <xf numFmtId="3" fontId="4" fillId="20" borderId="1" xfId="0" applyNumberFormat="1" applyFont="1" applyFill="1" applyBorder="1" applyAlignment="1">
      <alignment horizontal="center" vertical="center" wrapText="1"/>
    </xf>
    <xf numFmtId="3" fontId="0" fillId="20" borderId="11" xfId="0" applyNumberFormat="1" applyFill="1" applyBorder="1" applyAlignment="1">
      <alignment horizontal="center"/>
    </xf>
    <xf numFmtId="164" fontId="0" fillId="20" borderId="12" xfId="1" applyNumberFormat="1" applyFont="1" applyFill="1" applyBorder="1" applyAlignment="1">
      <alignment horizontal="center"/>
    </xf>
    <xf numFmtId="0" fontId="12" fillId="20" borderId="4" xfId="0" applyFont="1" applyFill="1" applyBorder="1" applyAlignment="1">
      <alignment horizontal="center" vertical="center" wrapText="1"/>
    </xf>
    <xf numFmtId="0" fontId="4" fillId="20" borderId="4" xfId="0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9" fontId="11" fillId="20" borderId="9" xfId="1" applyFont="1" applyFill="1" applyBorder="1" applyAlignment="1">
      <alignment horizontal="center"/>
    </xf>
    <xf numFmtId="0" fontId="29" fillId="21" borderId="0" xfId="0" applyFont="1" applyFill="1" applyAlignment="1">
      <alignment horizontal="center" vertical="center"/>
    </xf>
    <xf numFmtId="3" fontId="29" fillId="21" borderId="0" xfId="0" applyNumberFormat="1" applyFont="1" applyFill="1" applyAlignment="1">
      <alignment horizontal="center" vertical="center"/>
    </xf>
    <xf numFmtId="0" fontId="28" fillId="21" borderId="0" xfId="0" applyFont="1" applyFill="1" applyAlignment="1">
      <alignment horizontal="center" vertical="center"/>
    </xf>
    <xf numFmtId="3" fontId="28" fillId="21" borderId="0" xfId="0" applyNumberFormat="1" applyFont="1" applyFill="1" applyAlignment="1">
      <alignment horizontal="center" vertical="center"/>
    </xf>
    <xf numFmtId="0" fontId="0" fillId="22" borderId="0" xfId="0" applyFill="1"/>
    <xf numFmtId="3" fontId="0" fillId="22" borderId="0" xfId="0" applyNumberFormat="1" applyFill="1" applyAlignment="1">
      <alignment horizontal="right" vertical="center"/>
    </xf>
    <xf numFmtId="164" fontId="0" fillId="22" borderId="0" xfId="1" applyNumberFormat="1" applyFont="1" applyFill="1" applyAlignment="1">
      <alignment horizontal="center" vertical="center"/>
    </xf>
    <xf numFmtId="0" fontId="29" fillId="22" borderId="0" xfId="0" applyFont="1" applyFill="1" applyAlignment="1">
      <alignment horizontal="center" vertical="center"/>
    </xf>
    <xf numFmtId="3" fontId="29" fillId="22" borderId="0" xfId="0" applyNumberFormat="1" applyFont="1" applyFill="1" applyAlignment="1">
      <alignment horizontal="center" vertical="center"/>
    </xf>
    <xf numFmtId="165" fontId="0" fillId="22" borderId="0" xfId="3" applyNumberFormat="1" applyFont="1" applyFill="1" applyAlignment="1">
      <alignment horizontal="right"/>
    </xf>
    <xf numFmtId="2" fontId="0" fillId="22" borderId="0" xfId="0" applyNumberFormat="1" applyFill="1" applyAlignment="1">
      <alignment horizontal="center" vertical="center"/>
    </xf>
    <xf numFmtId="4" fontId="0" fillId="22" borderId="0" xfId="0" applyNumberForma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21" borderId="0" xfId="0" applyNumberFormat="1" applyFill="1" applyAlignment="1">
      <alignment horizontal="center" vertical="center"/>
    </xf>
    <xf numFmtId="9" fontId="4" fillId="15" borderId="1" xfId="1" applyFont="1" applyFill="1" applyBorder="1" applyAlignment="1">
      <alignment horizontal="center" vertical="center" wrapText="1"/>
    </xf>
    <xf numFmtId="9" fontId="4" fillId="15" borderId="2" xfId="1" applyFont="1" applyFill="1" applyBorder="1" applyAlignment="1">
      <alignment horizontal="center" vertical="center" wrapText="1"/>
    </xf>
    <xf numFmtId="1" fontId="0" fillId="15" borderId="8" xfId="1" applyNumberFormat="1" applyFont="1" applyFill="1" applyBorder="1" applyAlignment="1">
      <alignment horizontal="right"/>
    </xf>
    <xf numFmtId="1" fontId="0" fillId="15" borderId="0" xfId="1" applyNumberFormat="1" applyFont="1" applyFill="1" applyBorder="1" applyAlignment="1">
      <alignment horizontal="right" vertical="center"/>
    </xf>
    <xf numFmtId="1" fontId="0" fillId="15" borderId="0" xfId="1" applyNumberFormat="1" applyFont="1" applyFill="1" applyBorder="1" applyAlignment="1">
      <alignment horizontal="right"/>
    </xf>
    <xf numFmtId="3" fontId="0" fillId="15" borderId="0" xfId="0" applyNumberFormat="1" applyFill="1" applyAlignment="1">
      <alignment horizontal="right" vertical="center"/>
    </xf>
    <xf numFmtId="1" fontId="0" fillId="15" borderId="10" xfId="1" applyNumberFormat="1" applyFont="1" applyFill="1" applyBorder="1" applyAlignment="1">
      <alignment horizontal="right"/>
    </xf>
    <xf numFmtId="1" fontId="0" fillId="15" borderId="11" xfId="1" applyNumberFormat="1" applyFont="1" applyFill="1" applyBorder="1" applyAlignment="1">
      <alignment horizontal="right"/>
    </xf>
    <xf numFmtId="3" fontId="0" fillId="15" borderId="11" xfId="0" applyNumberFormat="1" applyFill="1" applyBorder="1" applyAlignment="1">
      <alignment horizontal="right"/>
    </xf>
    <xf numFmtId="0" fontId="4" fillId="9" borderId="4" xfId="0" applyFont="1" applyFill="1" applyBorder="1" applyAlignment="1">
      <alignment horizontal="center" vertical="center" wrapText="1"/>
    </xf>
    <xf numFmtId="9" fontId="0" fillId="9" borderId="14" xfId="1" applyFont="1" applyFill="1" applyBorder="1" applyAlignment="1">
      <alignment horizontal="center"/>
    </xf>
    <xf numFmtId="9" fontId="0" fillId="9" borderId="15" xfId="1" applyFont="1" applyFill="1" applyBorder="1" applyAlignment="1">
      <alignment horizontal="center"/>
    </xf>
    <xf numFmtId="164" fontId="0" fillId="15" borderId="6" xfId="1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164" fontId="0" fillId="15" borderId="11" xfId="1" applyNumberFormat="1" applyFont="1" applyFill="1" applyBorder="1" applyAlignment="1">
      <alignment horizontal="center"/>
    </xf>
    <xf numFmtId="9" fontId="0" fillId="9" borderId="9" xfId="1" applyFont="1" applyFill="1" applyBorder="1" applyAlignment="1">
      <alignment horizontal="center"/>
    </xf>
    <xf numFmtId="3" fontId="0" fillId="15" borderId="5" xfId="1" applyNumberFormat="1" applyFont="1" applyFill="1" applyBorder="1" applyAlignment="1">
      <alignment horizontal="center"/>
    </xf>
    <xf numFmtId="3" fontId="0" fillId="15" borderId="6" xfId="1" applyNumberFormat="1" applyFont="1" applyFill="1" applyBorder="1" applyAlignment="1">
      <alignment horizontal="center"/>
    </xf>
    <xf numFmtId="3" fontId="0" fillId="15" borderId="8" xfId="1" applyNumberFormat="1" applyFont="1" applyFill="1" applyBorder="1" applyAlignment="1">
      <alignment horizontal="center"/>
    </xf>
    <xf numFmtId="3" fontId="0" fillId="15" borderId="10" xfId="1" applyNumberFormat="1" applyFont="1" applyFill="1" applyBorder="1" applyAlignment="1">
      <alignment horizontal="center"/>
    </xf>
    <xf numFmtId="3" fontId="0" fillId="20" borderId="11" xfId="0" applyNumberFormat="1" applyFill="1" applyBorder="1" applyAlignment="1">
      <alignment horizontal="right"/>
    </xf>
    <xf numFmtId="3" fontId="0" fillId="15" borderId="8" xfId="1" applyNumberFormat="1" applyFont="1" applyFill="1" applyBorder="1" applyAlignment="1">
      <alignment horizontal="right"/>
    </xf>
    <xf numFmtId="3" fontId="0" fillId="15" borderId="0" xfId="1" applyNumberFormat="1" applyFont="1" applyFill="1" applyBorder="1" applyAlignment="1">
      <alignment horizontal="right"/>
    </xf>
    <xf numFmtId="164" fontId="0" fillId="15" borderId="9" xfId="1" applyNumberFormat="1" applyFont="1" applyFill="1" applyBorder="1" applyAlignment="1">
      <alignment horizontal="center" vertical="center"/>
    </xf>
    <xf numFmtId="3" fontId="0" fillId="15" borderId="11" xfId="1" applyNumberFormat="1" applyFont="1" applyFill="1" applyBorder="1" applyAlignment="1">
      <alignment horizontal="right"/>
    </xf>
    <xf numFmtId="164" fontId="0" fillId="15" borderId="12" xfId="1" applyNumberFormat="1" applyFont="1" applyFill="1" applyBorder="1" applyAlignment="1">
      <alignment horizontal="center" vertical="center"/>
    </xf>
    <xf numFmtId="3" fontId="0" fillId="15" borderId="10" xfId="1" applyNumberFormat="1" applyFont="1" applyFill="1" applyBorder="1" applyAlignment="1">
      <alignment horizontal="right"/>
    </xf>
    <xf numFmtId="3" fontId="0" fillId="20" borderId="6" xfId="0" applyNumberFormat="1" applyFill="1" applyBorder="1" applyAlignment="1">
      <alignment horizontal="center"/>
    </xf>
    <xf numFmtId="9" fontId="11" fillId="20" borderId="14" xfId="1" applyFont="1" applyFill="1" applyBorder="1" applyAlignment="1">
      <alignment horizontal="center"/>
    </xf>
    <xf numFmtId="1" fontId="0" fillId="20" borderId="9" xfId="3" applyNumberFormat="1" applyFont="1" applyFill="1" applyBorder="1" applyAlignment="1">
      <alignment horizontal="center"/>
    </xf>
    <xf numFmtId="9" fontId="11" fillId="20" borderId="15" xfId="1" applyFont="1" applyFill="1" applyBorder="1" applyAlignment="1">
      <alignment horizontal="center"/>
    </xf>
    <xf numFmtId="9" fontId="11" fillId="20" borderId="12" xfId="1" applyFont="1" applyFill="1" applyBorder="1" applyAlignment="1">
      <alignment horizontal="center"/>
    </xf>
    <xf numFmtId="1" fontId="0" fillId="20" borderId="12" xfId="3" applyNumberFormat="1" applyFont="1" applyFill="1" applyBorder="1" applyAlignment="1">
      <alignment horizontal="center"/>
    </xf>
    <xf numFmtId="1" fontId="0" fillId="20" borderId="13" xfId="3" applyNumberFormat="1" applyFont="1" applyFill="1" applyBorder="1" applyAlignment="1">
      <alignment horizontal="center"/>
    </xf>
    <xf numFmtId="1" fontId="0" fillId="20" borderId="14" xfId="3" applyNumberFormat="1" applyFont="1" applyFill="1" applyBorder="1" applyAlignment="1">
      <alignment horizontal="center"/>
    </xf>
    <xf numFmtId="1" fontId="0" fillId="20" borderId="15" xfId="3" applyNumberFormat="1" applyFont="1" applyFill="1" applyBorder="1" applyAlignment="1">
      <alignment horizontal="center"/>
    </xf>
    <xf numFmtId="9" fontId="0" fillId="6" borderId="6" xfId="1" applyFont="1" applyFill="1" applyBorder="1"/>
    <xf numFmtId="9" fontId="0" fillId="6" borderId="13" xfId="1" applyFont="1" applyFill="1" applyBorder="1"/>
    <xf numFmtId="9" fontId="0" fillId="6" borderId="15" xfId="1" applyFont="1" applyFill="1" applyBorder="1"/>
    <xf numFmtId="0" fontId="4" fillId="20" borderId="7" xfId="0" applyFont="1" applyFill="1" applyBorder="1" applyAlignment="1">
      <alignment horizontal="center" vertical="center" wrapText="1"/>
    </xf>
    <xf numFmtId="9" fontId="0" fillId="20" borderId="0" xfId="0" applyNumberFormat="1" applyFill="1"/>
    <xf numFmtId="3" fontId="0" fillId="20" borderId="0" xfId="0" applyNumberFormat="1" applyFill="1"/>
    <xf numFmtId="9" fontId="0" fillId="20" borderId="11" xfId="0" applyNumberFormat="1" applyFill="1" applyBorder="1"/>
    <xf numFmtId="3" fontId="0" fillId="20" borderId="11" xfId="0" applyNumberFormat="1" applyFill="1" applyBorder="1"/>
    <xf numFmtId="0" fontId="4" fillId="20" borderId="13" xfId="0" applyFont="1" applyFill="1" applyBorder="1" applyAlignment="1">
      <alignment horizontal="center" vertical="center" wrapText="1"/>
    </xf>
    <xf numFmtId="9" fontId="0" fillId="20" borderId="14" xfId="0" applyNumberFormat="1" applyFill="1" applyBorder="1"/>
    <xf numFmtId="9" fontId="0" fillId="20" borderId="15" xfId="0" applyNumberFormat="1" applyFill="1" applyBorder="1"/>
    <xf numFmtId="3" fontId="0" fillId="20" borderId="14" xfId="0" applyNumberFormat="1" applyFill="1" applyBorder="1"/>
    <xf numFmtId="3" fontId="0" fillId="20" borderId="15" xfId="0" applyNumberFormat="1" applyFill="1" applyBorder="1"/>
    <xf numFmtId="165" fontId="0" fillId="20" borderId="14" xfId="3" applyNumberFormat="1" applyFont="1" applyFill="1" applyBorder="1"/>
    <xf numFmtId="3" fontId="0" fillId="20" borderId="13" xfId="0" applyNumberFormat="1" applyFill="1" applyBorder="1"/>
    <xf numFmtId="9" fontId="0" fillId="20" borderId="14" xfId="1" applyFont="1" applyFill="1" applyBorder="1" applyAlignment="1">
      <alignment horizontal="center"/>
    </xf>
    <xf numFmtId="9" fontId="0" fillId="20" borderId="27" xfId="1" applyFont="1" applyFill="1" applyBorder="1" applyAlignment="1">
      <alignment horizontal="center"/>
    </xf>
    <xf numFmtId="3" fontId="0" fillId="15" borderId="0" xfId="1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3" fontId="0" fillId="9" borderId="5" xfId="0" applyNumberFormat="1" applyFill="1" applyBorder="1" applyAlignment="1">
      <alignment horizontal="right"/>
    </xf>
    <xf numFmtId="3" fontId="0" fillId="9" borderId="0" xfId="0" applyNumberFormat="1" applyFill="1" applyAlignment="1">
      <alignment horizontal="right"/>
    </xf>
    <xf numFmtId="3" fontId="0" fillId="9" borderId="6" xfId="0" applyNumberFormat="1" applyFill="1" applyBorder="1" applyAlignment="1">
      <alignment horizontal="right"/>
    </xf>
    <xf numFmtId="164" fontId="0" fillId="9" borderId="7" xfId="1" applyNumberFormat="1" applyFont="1" applyFill="1" applyBorder="1" applyAlignment="1">
      <alignment horizontal="center"/>
    </xf>
    <xf numFmtId="3" fontId="0" fillId="9" borderId="8" xfId="0" applyNumberFormat="1" applyFill="1" applyBorder="1" applyAlignment="1">
      <alignment horizontal="right"/>
    </xf>
    <xf numFmtId="164" fontId="0" fillId="9" borderId="9" xfId="1" applyNumberFormat="1" applyFont="1" applyFill="1" applyBorder="1" applyAlignment="1">
      <alignment horizontal="center"/>
    </xf>
    <xf numFmtId="164" fontId="0" fillId="9" borderId="12" xfId="1" applyNumberFormat="1" applyFont="1" applyFill="1" applyBorder="1" applyAlignment="1">
      <alignment horizontal="center"/>
    </xf>
    <xf numFmtId="3" fontId="0" fillId="9" borderId="11" xfId="0" applyNumberFormat="1" applyFill="1" applyBorder="1" applyAlignment="1">
      <alignment horizontal="right"/>
    </xf>
    <xf numFmtId="0" fontId="4" fillId="15" borderId="6" xfId="0" applyFont="1" applyFill="1" applyBorder="1" applyAlignment="1">
      <alignment horizontal="center" vertical="center" wrapText="1"/>
    </xf>
    <xf numFmtId="165" fontId="4" fillId="20" borderId="2" xfId="3" applyNumberFormat="1" applyFont="1" applyFill="1" applyBorder="1" applyAlignment="1">
      <alignment horizontal="center" vertical="center" wrapText="1"/>
    </xf>
    <xf numFmtId="165" fontId="0" fillId="20" borderId="0" xfId="3" applyNumberFormat="1" applyFont="1" applyFill="1" applyBorder="1" applyAlignment="1">
      <alignment horizontal="right"/>
    </xf>
    <xf numFmtId="165" fontId="0" fillId="20" borderId="6" xfId="3" applyNumberFormat="1" applyFont="1" applyFill="1" applyBorder="1" applyAlignment="1">
      <alignment horizontal="right"/>
    </xf>
    <xf numFmtId="165" fontId="0" fillId="20" borderId="11" xfId="3" applyNumberFormat="1" applyFont="1" applyFill="1" applyBorder="1" applyAlignment="1">
      <alignment horizontal="right"/>
    </xf>
    <xf numFmtId="3" fontId="0" fillId="20" borderId="29" xfId="0" applyNumberFormat="1" applyFill="1" applyBorder="1" applyAlignment="1">
      <alignment horizontal="right"/>
    </xf>
    <xf numFmtId="3" fontId="0" fillId="20" borderId="29" xfId="0" applyNumberFormat="1" applyFill="1" applyBorder="1" applyAlignment="1">
      <alignment horizontal="center"/>
    </xf>
    <xf numFmtId="165" fontId="0" fillId="20" borderId="29" xfId="3" applyNumberFormat="1" applyFont="1" applyFill="1" applyBorder="1" applyAlignment="1">
      <alignment horizontal="right"/>
    </xf>
    <xf numFmtId="164" fontId="0" fillId="20" borderId="30" xfId="1" applyNumberFormat="1" applyFont="1" applyFill="1" applyBorder="1" applyAlignment="1">
      <alignment horizontal="center"/>
    </xf>
    <xf numFmtId="9" fontId="4" fillId="15" borderId="4" xfId="1" applyFont="1" applyFill="1" applyBorder="1" applyAlignment="1">
      <alignment horizontal="center" vertical="center" wrapText="1"/>
    </xf>
    <xf numFmtId="9" fontId="4" fillId="15" borderId="3" xfId="1" applyFont="1" applyFill="1" applyBorder="1" applyAlignment="1">
      <alignment horizontal="center" vertical="center" wrapText="1"/>
    </xf>
    <xf numFmtId="9" fontId="0" fillId="15" borderId="14" xfId="1" applyFont="1" applyFill="1" applyBorder="1" applyAlignment="1">
      <alignment horizontal="center"/>
    </xf>
    <xf numFmtId="9" fontId="0" fillId="15" borderId="15" xfId="1" applyFont="1" applyFill="1" applyBorder="1" applyAlignment="1">
      <alignment horizontal="center"/>
    </xf>
    <xf numFmtId="9" fontId="0" fillId="15" borderId="12" xfId="1" applyFont="1" applyFill="1" applyBorder="1" applyAlignment="1">
      <alignment horizontal="center"/>
    </xf>
    <xf numFmtId="9" fontId="0" fillId="20" borderId="13" xfId="1" applyFont="1" applyFill="1" applyBorder="1" applyAlignment="1">
      <alignment horizontal="center"/>
    </xf>
    <xf numFmtId="9" fontId="0" fillId="20" borderId="15" xfId="1" applyFont="1" applyFill="1" applyBorder="1" applyAlignment="1">
      <alignment horizontal="center"/>
    </xf>
    <xf numFmtId="167" fontId="0" fillId="20" borderId="13" xfId="3" applyNumberFormat="1" applyFont="1" applyFill="1" applyBorder="1" applyAlignment="1">
      <alignment horizontal="center"/>
    </xf>
    <xf numFmtId="167" fontId="0" fillId="20" borderId="14" xfId="3" applyNumberFormat="1" applyFont="1" applyFill="1" applyBorder="1" applyAlignment="1">
      <alignment horizontal="center"/>
    </xf>
    <xf numFmtId="167" fontId="0" fillId="20" borderId="15" xfId="3" applyNumberFormat="1" applyFont="1" applyFill="1" applyBorder="1" applyAlignment="1">
      <alignment horizontal="center"/>
    </xf>
    <xf numFmtId="9" fontId="11" fillId="20" borderId="13" xfId="1" applyFont="1" applyFill="1" applyBorder="1" applyAlignment="1">
      <alignment horizontal="center"/>
    </xf>
    <xf numFmtId="9" fontId="0" fillId="20" borderId="13" xfId="0" applyNumberFormat="1" applyFill="1" applyBorder="1"/>
    <xf numFmtId="165" fontId="0" fillId="20" borderId="13" xfId="3" applyNumberFormat="1" applyFont="1" applyFill="1" applyBorder="1"/>
    <xf numFmtId="165" fontId="0" fillId="20" borderId="15" xfId="3" applyNumberFormat="1" applyFont="1" applyFill="1" applyBorder="1"/>
    <xf numFmtId="0" fontId="0" fillId="20" borderId="13" xfId="0" applyFill="1" applyBorder="1"/>
    <xf numFmtId="9" fontId="0" fillId="20" borderId="14" xfId="1" applyFont="1" applyFill="1" applyBorder="1" applyAlignment="1">
      <alignment horizontal="center" vertical="center"/>
    </xf>
    <xf numFmtId="37" fontId="0" fillId="20" borderId="8" xfId="3" applyNumberFormat="1" applyFont="1" applyFill="1" applyBorder="1"/>
    <xf numFmtId="37" fontId="0" fillId="20" borderId="0" xfId="3" applyNumberFormat="1" applyFont="1" applyFill="1" applyBorder="1"/>
    <xf numFmtId="43" fontId="0" fillId="20" borderId="9" xfId="3" applyFont="1" applyFill="1" applyBorder="1"/>
    <xf numFmtId="165" fontId="0" fillId="20" borderId="8" xfId="3" applyNumberFormat="1" applyFont="1" applyFill="1" applyBorder="1" applyAlignment="1">
      <alignment horizontal="center" vertical="center"/>
    </xf>
    <xf numFmtId="165" fontId="0" fillId="20" borderId="0" xfId="3" applyNumberFormat="1" applyFont="1" applyFill="1" applyBorder="1" applyAlignment="1">
      <alignment horizontal="center" vertical="center"/>
    </xf>
    <xf numFmtId="43" fontId="0" fillId="20" borderId="9" xfId="3" applyFont="1" applyFill="1" applyBorder="1" applyAlignment="1">
      <alignment horizontal="center" vertical="center"/>
    </xf>
    <xf numFmtId="9" fontId="0" fillId="20" borderId="15" xfId="1" applyFont="1" applyFill="1" applyBorder="1" applyAlignment="1">
      <alignment horizontal="center" vertical="center"/>
    </xf>
    <xf numFmtId="43" fontId="0" fillId="20" borderId="12" xfId="3" applyFont="1" applyFill="1" applyBorder="1" applyAlignment="1">
      <alignment horizontal="center" vertical="center"/>
    </xf>
    <xf numFmtId="165" fontId="0" fillId="20" borderId="9" xfId="3" applyNumberFormat="1" applyFont="1" applyFill="1" applyBorder="1" applyAlignment="1">
      <alignment horizontal="center" vertical="center"/>
    </xf>
    <xf numFmtId="165" fontId="0" fillId="15" borderId="5" xfId="3" applyNumberFormat="1" applyFont="1" applyFill="1" applyBorder="1" applyAlignment="1">
      <alignment horizontal="center" vertical="center"/>
    </xf>
    <xf numFmtId="165" fontId="0" fillId="15" borderId="6" xfId="3" applyNumberFormat="1" applyFont="1" applyFill="1" applyBorder="1" applyAlignment="1">
      <alignment horizontal="center" vertical="center"/>
    </xf>
    <xf numFmtId="43" fontId="0" fillId="15" borderId="7" xfId="3" applyFont="1" applyFill="1" applyBorder="1" applyAlignment="1">
      <alignment horizontal="center" vertical="center"/>
    </xf>
    <xf numFmtId="37" fontId="0" fillId="20" borderId="5" xfId="3" applyNumberFormat="1" applyFont="1" applyFill="1" applyBorder="1"/>
    <xf numFmtId="37" fontId="0" fillId="20" borderId="6" xfId="3" applyNumberFormat="1" applyFont="1" applyFill="1" applyBorder="1"/>
    <xf numFmtId="43" fontId="0" fillId="20" borderId="7" xfId="3" applyFont="1" applyFill="1" applyBorder="1"/>
    <xf numFmtId="43" fontId="0" fillId="20" borderId="12" xfId="3" applyFont="1" applyFill="1" applyBorder="1"/>
    <xf numFmtId="2" fontId="0" fillId="15" borderId="5" xfId="0" applyNumberFormat="1" applyFill="1" applyBorder="1"/>
    <xf numFmtId="2" fontId="0" fillId="15" borderId="6" xfId="0" applyNumberFormat="1" applyFill="1" applyBorder="1"/>
    <xf numFmtId="4" fontId="0" fillId="15" borderId="7" xfId="0" applyNumberFormat="1" applyFill="1" applyBorder="1"/>
    <xf numFmtId="2" fontId="0" fillId="15" borderId="8" xfId="0" applyNumberFormat="1" applyFill="1" applyBorder="1"/>
    <xf numFmtId="2" fontId="0" fillId="15" borderId="0" xfId="0" applyNumberFormat="1" applyFill="1"/>
    <xf numFmtId="4" fontId="0" fillId="15" borderId="9" xfId="0" applyNumberFormat="1" applyFill="1" applyBorder="1"/>
    <xf numFmtId="43" fontId="0" fillId="15" borderId="7" xfId="3" applyFont="1" applyFill="1" applyBorder="1"/>
    <xf numFmtId="43" fontId="0" fillId="15" borderId="9" xfId="3" applyFont="1" applyFill="1" applyBorder="1"/>
    <xf numFmtId="165" fontId="0" fillId="15" borderId="9" xfId="3" applyNumberFormat="1" applyFont="1" applyFill="1" applyBorder="1" applyAlignment="1">
      <alignment horizontal="center" vertical="center"/>
    </xf>
    <xf numFmtId="43" fontId="0" fillId="15" borderId="12" xfId="3" applyFont="1" applyFill="1" applyBorder="1"/>
    <xf numFmtId="4" fontId="0" fillId="15" borderId="15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4" fontId="0" fillId="15" borderId="13" xfId="0" applyNumberFormat="1" applyFill="1" applyBorder="1" applyAlignment="1">
      <alignment horizontal="center" vertical="center"/>
    </xf>
    <xf numFmtId="4" fontId="0" fillId="20" borderId="13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3" fontId="0" fillId="20" borderId="13" xfId="0" applyNumberFormat="1" applyFill="1" applyBorder="1"/>
    <xf numFmtId="43" fontId="0" fillId="20" borderId="14" xfId="0" applyNumberFormat="1" applyFill="1" applyBorder="1"/>
    <xf numFmtId="43" fontId="0" fillId="20" borderId="15" xfId="0" applyNumberFormat="1" applyFill="1" applyBorder="1"/>
    <xf numFmtId="43" fontId="0" fillId="20" borderId="5" xfId="0" applyNumberFormat="1" applyFill="1" applyBorder="1"/>
    <xf numFmtId="43" fontId="0" fillId="20" borderId="8" xfId="0" applyNumberFormat="1" applyFill="1" applyBorder="1"/>
    <xf numFmtId="43" fontId="0" fillId="20" borderId="10" xfId="0" applyNumberFormat="1" applyFill="1" applyBorder="1"/>
    <xf numFmtId="43" fontId="0" fillId="20" borderId="13" xfId="3" applyFont="1" applyFill="1" applyBorder="1"/>
    <xf numFmtId="43" fontId="0" fillId="20" borderId="14" xfId="3" applyFont="1" applyFill="1" applyBorder="1"/>
    <xf numFmtId="43" fontId="0" fillId="20" borderId="15" xfId="3" applyFont="1" applyFill="1" applyBorder="1"/>
    <xf numFmtId="43" fontId="0" fillId="20" borderId="13" xfId="0" applyNumberFormat="1" applyFill="1" applyBorder="1" applyAlignment="1">
      <alignment horizontal="center"/>
    </xf>
    <xf numFmtId="43" fontId="0" fillId="20" borderId="14" xfId="0" applyNumberFormat="1" applyFill="1" applyBorder="1" applyAlignment="1">
      <alignment horizontal="center"/>
    </xf>
    <xf numFmtId="43" fontId="0" fillId="20" borderId="15" xfId="0" applyNumberFormat="1" applyFill="1" applyBorder="1" applyAlignment="1">
      <alignment horizontal="center"/>
    </xf>
    <xf numFmtId="43" fontId="1" fillId="6" borderId="13" xfId="3" applyFont="1" applyFill="1" applyBorder="1" applyAlignment="1">
      <alignment horizontal="center"/>
    </xf>
    <xf numFmtId="43" fontId="1" fillId="6" borderId="14" xfId="3" applyFont="1" applyFill="1" applyBorder="1" applyAlignment="1">
      <alignment horizontal="center"/>
    </xf>
    <xf numFmtId="43" fontId="1" fillId="6" borderId="15" xfId="3" applyFont="1" applyFill="1" applyBorder="1" applyAlignment="1">
      <alignment horizontal="center"/>
    </xf>
    <xf numFmtId="0" fontId="2" fillId="20" borderId="14" xfId="0" applyFont="1" applyFill="1" applyBorder="1"/>
    <xf numFmtId="0" fontId="4" fillId="20" borderId="4" xfId="0" applyFont="1" applyFill="1" applyBorder="1" applyAlignment="1">
      <alignment horizontal="center" vertical="center"/>
    </xf>
    <xf numFmtId="165" fontId="1" fillId="20" borderId="13" xfId="3" applyNumberFormat="1" applyFont="1" applyFill="1" applyBorder="1"/>
    <xf numFmtId="165" fontId="1" fillId="20" borderId="14" xfId="3" applyNumberFormat="1" applyFont="1" applyFill="1" applyBorder="1"/>
    <xf numFmtId="165" fontId="1" fillId="20" borderId="15" xfId="3" applyNumberFormat="1" applyFont="1" applyFill="1" applyBorder="1"/>
    <xf numFmtId="37" fontId="0" fillId="20" borderId="13" xfId="0" applyNumberFormat="1" applyFill="1" applyBorder="1"/>
    <xf numFmtId="37" fontId="0" fillId="20" borderId="14" xfId="0" applyNumberFormat="1" applyFill="1" applyBorder="1"/>
    <xf numFmtId="37" fontId="0" fillId="20" borderId="15" xfId="0" applyNumberFormat="1" applyFill="1" applyBorder="1"/>
    <xf numFmtId="0" fontId="5" fillId="20" borderId="4" xfId="0" applyFont="1" applyFill="1" applyBorder="1" applyAlignment="1">
      <alignment horizontal="center" vertical="center"/>
    </xf>
    <xf numFmtId="9" fontId="1" fillId="20" borderId="13" xfId="1" applyFont="1" applyFill="1" applyBorder="1"/>
    <xf numFmtId="9" fontId="1" fillId="20" borderId="14" xfId="1" applyFont="1" applyFill="1" applyBorder="1"/>
    <xf numFmtId="9" fontId="1" fillId="20" borderId="15" xfId="1" applyFont="1" applyFill="1" applyBorder="1"/>
    <xf numFmtId="43" fontId="2" fillId="20" borderId="9" xfId="3" applyFont="1" applyFill="1" applyBorder="1"/>
    <xf numFmtId="0" fontId="2" fillId="20" borderId="9" xfId="0" applyFont="1" applyFill="1" applyBorder="1"/>
    <xf numFmtId="43" fontId="2" fillId="20" borderId="12" xfId="3" applyFont="1" applyFill="1" applyBorder="1"/>
    <xf numFmtId="43" fontId="2" fillId="20" borderId="13" xfId="3" applyFont="1" applyFill="1" applyBorder="1"/>
    <xf numFmtId="43" fontId="2" fillId="20" borderId="14" xfId="3" applyFont="1" applyFill="1" applyBorder="1"/>
    <xf numFmtId="43" fontId="2" fillId="20" borderId="15" xfId="3" applyFont="1" applyFill="1" applyBorder="1"/>
    <xf numFmtId="0" fontId="4" fillId="20" borderId="4" xfId="0" applyFont="1" applyFill="1" applyBorder="1" applyAlignment="1">
      <alignment horizontal="center" wrapText="1"/>
    </xf>
    <xf numFmtId="10" fontId="0" fillId="0" borderId="0" xfId="1" applyNumberFormat="1" applyFont="1"/>
    <xf numFmtId="9" fontId="11" fillId="20" borderId="7" xfId="1" applyFont="1" applyFill="1" applyBorder="1" applyAlignment="1">
      <alignment horizontal="center"/>
    </xf>
    <xf numFmtId="3" fontId="0" fillId="20" borderId="8" xfId="0" applyNumberFormat="1" applyFill="1" applyBorder="1"/>
    <xf numFmtId="9" fontId="0" fillId="20" borderId="8" xfId="0" applyNumberFormat="1" applyFill="1" applyBorder="1"/>
    <xf numFmtId="3" fontId="0" fillId="20" borderId="10" xfId="0" applyNumberFormat="1" applyFill="1" applyBorder="1"/>
    <xf numFmtId="3" fontId="0" fillId="20" borderId="5" xfId="0" applyNumberFormat="1" applyFill="1" applyBorder="1"/>
    <xf numFmtId="3" fontId="0" fillId="20" borderId="6" xfId="0" applyNumberFormat="1" applyFill="1" applyBorder="1"/>
    <xf numFmtId="9" fontId="0" fillId="6" borderId="11" xfId="1" applyFont="1" applyFill="1" applyBorder="1"/>
    <xf numFmtId="37" fontId="0" fillId="20" borderId="10" xfId="3" applyNumberFormat="1" applyFont="1" applyFill="1" applyBorder="1"/>
    <xf numFmtId="37" fontId="0" fillId="20" borderId="11" xfId="3" applyNumberFormat="1" applyFont="1" applyFill="1" applyBorder="1"/>
    <xf numFmtId="0" fontId="27" fillId="19" borderId="0" xfId="0" applyFont="1" applyFill="1" applyAlignment="1">
      <alignment horizontal="center" vertical="center" wrapText="1"/>
    </xf>
    <xf numFmtId="1" fontId="26" fillId="19" borderId="0" xfId="0" applyNumberFormat="1" applyFont="1" applyFill="1" applyAlignment="1">
      <alignment horizontal="center" vertical="center"/>
    </xf>
    <xf numFmtId="9" fontId="0" fillId="15" borderId="13" xfId="1" applyFont="1" applyFill="1" applyBorder="1" applyAlignment="1">
      <alignment horizontal="center"/>
    </xf>
    <xf numFmtId="3" fontId="0" fillId="20" borderId="14" xfId="1" applyNumberFormat="1" applyFont="1" applyFill="1" applyBorder="1" applyAlignment="1">
      <alignment horizontal="center"/>
    </xf>
    <xf numFmtId="3" fontId="0" fillId="20" borderId="15" xfId="1" applyNumberFormat="1" applyFont="1" applyFill="1" applyBorder="1" applyAlignment="1">
      <alignment horizontal="center"/>
    </xf>
    <xf numFmtId="168" fontId="0" fillId="0" borderId="0" xfId="0" applyNumberFormat="1"/>
    <xf numFmtId="43" fontId="2" fillId="20" borderId="7" xfId="3" applyFont="1" applyFill="1" applyBorder="1"/>
    <xf numFmtId="3" fontId="0" fillId="9" borderId="6" xfId="0" applyNumberFormat="1" applyFill="1" applyBorder="1" applyAlignment="1">
      <alignment horizontal="center"/>
    </xf>
    <xf numFmtId="9" fontId="0" fillId="15" borderId="0" xfId="1" applyFont="1" applyFill="1" applyBorder="1" applyAlignment="1">
      <alignment horizontal="center"/>
    </xf>
    <xf numFmtId="9" fontId="0" fillId="15" borderId="7" xfId="1" applyFont="1" applyFill="1" applyBorder="1" applyAlignment="1">
      <alignment horizontal="center"/>
    </xf>
    <xf numFmtId="3" fontId="0" fillId="9" borderId="13" xfId="0" applyNumberFormat="1" applyFill="1" applyBorder="1" applyAlignment="1">
      <alignment horizontal="center"/>
    </xf>
    <xf numFmtId="3" fontId="0" fillId="9" borderId="14" xfId="0" applyNumberFormat="1" applyFill="1" applyBorder="1" applyAlignment="1">
      <alignment horizontal="center"/>
    </xf>
    <xf numFmtId="3" fontId="0" fillId="9" borderId="15" xfId="0" applyNumberFormat="1" applyFill="1" applyBorder="1" applyAlignment="1">
      <alignment horizontal="center"/>
    </xf>
    <xf numFmtId="9" fontId="0" fillId="15" borderId="11" xfId="1" applyFont="1" applyFill="1" applyBorder="1" applyAlignment="1">
      <alignment horizontal="center"/>
    </xf>
    <xf numFmtId="2" fontId="0" fillId="20" borderId="0" xfId="0" applyNumberFormat="1" applyFill="1"/>
    <xf numFmtId="43" fontId="1" fillId="23" borderId="13" xfId="3" applyFont="1" applyFill="1" applyBorder="1" applyAlignment="1">
      <alignment horizontal="center"/>
    </xf>
    <xf numFmtId="43" fontId="1" fillId="23" borderId="14" xfId="3" applyFont="1" applyFill="1" applyBorder="1" applyAlignment="1">
      <alignment horizontal="center"/>
    </xf>
    <xf numFmtId="43" fontId="1" fillId="23" borderId="15" xfId="3" applyFont="1" applyFill="1" applyBorder="1" applyAlignment="1">
      <alignment horizontal="center"/>
    </xf>
    <xf numFmtId="0" fontId="26" fillId="19" borderId="0" xfId="0" applyFont="1" applyFill="1" applyAlignment="1">
      <alignment horizontal="left" vertical="center" wrapText="1"/>
    </xf>
    <xf numFmtId="169" fontId="0" fillId="15" borderId="14" xfId="3" applyNumberFormat="1" applyFont="1" applyFill="1" applyBorder="1" applyAlignment="1">
      <alignment horizontal="right" vertical="center"/>
    </xf>
    <xf numFmtId="169" fontId="0" fillId="15" borderId="15" xfId="3" applyNumberFormat="1" applyFont="1" applyFill="1" applyBorder="1" applyAlignment="1">
      <alignment horizontal="right" vertical="center"/>
    </xf>
    <xf numFmtId="1" fontId="0" fillId="6" borderId="9" xfId="3" applyNumberFormat="1" applyFont="1" applyFill="1" applyBorder="1" applyAlignment="1">
      <alignment horizontal="center" vertical="center"/>
    </xf>
    <xf numFmtId="9" fontId="0" fillId="6" borderId="8" xfId="1" applyFont="1" applyFill="1" applyBorder="1"/>
    <xf numFmtId="0" fontId="27" fillId="19" borderId="34" xfId="0" applyFont="1" applyFill="1" applyBorder="1" applyAlignment="1">
      <alignment vertical="center"/>
    </xf>
    <xf numFmtId="0" fontId="4" fillId="24" borderId="1" xfId="0" applyFont="1" applyFill="1" applyBorder="1" applyAlignment="1">
      <alignment horizontal="center" vertical="center" wrapText="1"/>
    </xf>
    <xf numFmtId="0" fontId="4" fillId="24" borderId="4" xfId="0" applyFont="1" applyFill="1" applyBorder="1" applyAlignment="1">
      <alignment horizontal="center" vertical="center" wrapText="1"/>
    </xf>
    <xf numFmtId="9" fontId="0" fillId="6" borderId="13" xfId="1" applyFont="1" applyFill="1" applyBorder="1" applyAlignment="1">
      <alignment horizontal="center" vertical="center"/>
    </xf>
    <xf numFmtId="9" fontId="0" fillId="6" borderId="14" xfId="1" applyFont="1" applyFill="1" applyBorder="1" applyAlignment="1">
      <alignment horizontal="center" vertical="center"/>
    </xf>
    <xf numFmtId="9" fontId="0" fillId="6" borderId="9" xfId="1" applyFont="1" applyFill="1" applyBorder="1" applyAlignment="1">
      <alignment horizontal="center" vertical="center"/>
    </xf>
    <xf numFmtId="9" fontId="0" fillId="6" borderId="15" xfId="1" applyFont="1" applyFill="1" applyBorder="1" applyAlignment="1">
      <alignment horizontal="center" vertical="center"/>
    </xf>
    <xf numFmtId="9" fontId="0" fillId="6" borderId="12" xfId="1" applyFont="1" applyFill="1" applyBorder="1" applyAlignment="1">
      <alignment horizontal="center" vertical="center"/>
    </xf>
    <xf numFmtId="43" fontId="4" fillId="24" borderId="13" xfId="3" applyFont="1" applyFill="1" applyBorder="1" applyAlignment="1">
      <alignment horizontal="center"/>
    </xf>
    <xf numFmtId="43" fontId="4" fillId="24" borderId="14" xfId="3" applyFont="1" applyFill="1" applyBorder="1" applyAlignment="1">
      <alignment horizontal="center"/>
    </xf>
    <xf numFmtId="43" fontId="4" fillId="24" borderId="15" xfId="3" applyFont="1" applyFill="1" applyBorder="1" applyAlignment="1">
      <alignment horizontal="center"/>
    </xf>
    <xf numFmtId="9" fontId="4" fillId="24" borderId="13" xfId="1" applyFont="1" applyFill="1" applyBorder="1" applyAlignment="1">
      <alignment horizontal="center" vertical="center"/>
    </xf>
    <xf numFmtId="9" fontId="4" fillId="24" borderId="6" xfId="1" applyFont="1" applyFill="1" applyBorder="1" applyAlignment="1">
      <alignment horizontal="center" vertical="center"/>
    </xf>
    <xf numFmtId="9" fontId="4" fillId="24" borderId="14" xfId="1" applyFont="1" applyFill="1" applyBorder="1" applyAlignment="1">
      <alignment horizontal="center" vertical="center"/>
    </xf>
    <xf numFmtId="9" fontId="4" fillId="24" borderId="0" xfId="1" applyFont="1" applyFill="1" applyBorder="1" applyAlignment="1">
      <alignment horizontal="center" vertical="center"/>
    </xf>
    <xf numFmtId="9" fontId="4" fillId="24" borderId="9" xfId="1" applyFont="1" applyFill="1" applyBorder="1" applyAlignment="1">
      <alignment horizontal="center" vertical="center"/>
    </xf>
    <xf numFmtId="9" fontId="4" fillId="24" borderId="15" xfId="1" applyFont="1" applyFill="1" applyBorder="1" applyAlignment="1">
      <alignment horizontal="center" vertical="center"/>
    </xf>
    <xf numFmtId="9" fontId="4" fillId="24" borderId="11" xfId="1" applyFont="1" applyFill="1" applyBorder="1" applyAlignment="1">
      <alignment horizontal="center" vertical="center"/>
    </xf>
    <xf numFmtId="9" fontId="4" fillId="24" borderId="13" xfId="1" applyFont="1" applyFill="1" applyBorder="1"/>
    <xf numFmtId="9" fontId="4" fillId="24" borderId="6" xfId="1" applyFont="1" applyFill="1" applyBorder="1"/>
    <xf numFmtId="9" fontId="4" fillId="24" borderId="14" xfId="1" applyFont="1" applyFill="1" applyBorder="1"/>
    <xf numFmtId="9" fontId="4" fillId="24" borderId="0" xfId="1" applyFont="1" applyFill="1" applyBorder="1"/>
    <xf numFmtId="9" fontId="4" fillId="24" borderId="9" xfId="1" applyFont="1" applyFill="1" applyBorder="1"/>
    <xf numFmtId="9" fontId="4" fillId="24" borderId="15" xfId="1" applyFont="1" applyFill="1" applyBorder="1"/>
    <xf numFmtId="9" fontId="4" fillId="24" borderId="11" xfId="1" applyFont="1" applyFill="1" applyBorder="1"/>
    <xf numFmtId="0" fontId="4" fillId="24" borderId="1" xfId="0" applyFont="1" applyFill="1" applyBorder="1" applyAlignment="1">
      <alignment horizontal="center" wrapText="1"/>
    </xf>
    <xf numFmtId="0" fontId="4" fillId="24" borderId="3" xfId="0" applyFont="1" applyFill="1" applyBorder="1" applyAlignment="1">
      <alignment horizontal="center" wrapText="1"/>
    </xf>
    <xf numFmtId="1" fontId="0" fillId="24" borderId="8" xfId="3" applyNumberFormat="1" applyFont="1" applyFill="1" applyBorder="1" applyAlignment="1">
      <alignment horizontal="center" vertical="center"/>
    </xf>
    <xf numFmtId="1" fontId="0" fillId="24" borderId="14" xfId="3" applyNumberFormat="1" applyFont="1" applyFill="1" applyBorder="1" applyAlignment="1">
      <alignment horizontal="center" vertical="center"/>
    </xf>
    <xf numFmtId="0" fontId="0" fillId="25" borderId="0" xfId="0" applyFill="1"/>
    <xf numFmtId="1" fontId="0" fillId="24" borderId="9" xfId="3" applyNumberFormat="1" applyFont="1" applyFill="1" applyBorder="1" applyAlignment="1">
      <alignment horizontal="center" vertical="center"/>
    </xf>
    <xf numFmtId="0" fontId="4" fillId="4" borderId="0" xfId="0" applyFont="1" applyFill="1"/>
    <xf numFmtId="9" fontId="26" fillId="10" borderId="17" xfId="0" applyNumberFormat="1" applyFont="1" applyFill="1" applyBorder="1" applyAlignment="1">
      <alignment horizontal="center" vertical="center"/>
    </xf>
    <xf numFmtId="43" fontId="26" fillId="10" borderId="17" xfId="0" applyNumberFormat="1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/>
    </xf>
    <xf numFmtId="1" fontId="0" fillId="26" borderId="8" xfId="1" applyNumberFormat="1" applyFont="1" applyFill="1" applyBorder="1" applyAlignment="1">
      <alignment horizontal="right"/>
    </xf>
    <xf numFmtId="9" fontId="0" fillId="10" borderId="14" xfId="1" applyFont="1" applyFill="1" applyBorder="1" applyAlignment="1">
      <alignment horizontal="center"/>
    </xf>
    <xf numFmtId="9" fontId="0" fillId="10" borderId="9" xfId="1" applyFont="1" applyFill="1" applyBorder="1" applyAlignment="1">
      <alignment horizontal="center"/>
    </xf>
    <xf numFmtId="9" fontId="11" fillId="10" borderId="14" xfId="1" applyFont="1" applyFill="1" applyBorder="1" applyAlignment="1">
      <alignment horizontal="center"/>
    </xf>
    <xf numFmtId="9" fontId="11" fillId="10" borderId="9" xfId="1" applyFont="1" applyFill="1" applyBorder="1" applyAlignment="1">
      <alignment horizontal="center"/>
    </xf>
    <xf numFmtId="1" fontId="0" fillId="10" borderId="14" xfId="3" applyNumberFormat="1" applyFont="1" applyFill="1" applyBorder="1" applyAlignment="1">
      <alignment horizontal="center"/>
    </xf>
    <xf numFmtId="1" fontId="0" fillId="10" borderId="9" xfId="3" applyNumberFormat="1" applyFont="1" applyFill="1" applyBorder="1" applyAlignment="1">
      <alignment horizontal="center"/>
    </xf>
    <xf numFmtId="9" fontId="0" fillId="10" borderId="14" xfId="1" applyFont="1" applyFill="1" applyBorder="1" applyAlignment="1">
      <alignment horizontal="right" vertical="center"/>
    </xf>
    <xf numFmtId="9" fontId="0" fillId="10" borderId="0" xfId="1" applyFont="1" applyFill="1" applyBorder="1" applyAlignment="1">
      <alignment horizontal="right" vertical="center"/>
    </xf>
    <xf numFmtId="9" fontId="4" fillId="27" borderId="14" xfId="1" applyFont="1" applyFill="1" applyBorder="1" applyAlignment="1">
      <alignment horizontal="right" vertical="center"/>
    </xf>
    <xf numFmtId="9" fontId="4" fillId="27" borderId="0" xfId="1" applyFont="1" applyFill="1" applyBorder="1" applyAlignment="1">
      <alignment horizontal="right" vertical="center"/>
    </xf>
    <xf numFmtId="9" fontId="0" fillId="10" borderId="14" xfId="1" applyFont="1" applyFill="1" applyBorder="1" applyAlignment="1">
      <alignment horizontal="right"/>
    </xf>
    <xf numFmtId="9" fontId="0" fillId="10" borderId="0" xfId="0" applyNumberFormat="1" applyFill="1"/>
    <xf numFmtId="9" fontId="0" fillId="10" borderId="14" xfId="0" applyNumberFormat="1" applyFill="1" applyBorder="1"/>
    <xf numFmtId="3" fontId="0" fillId="10" borderId="8" xfId="0" applyNumberFormat="1" applyFill="1" applyBorder="1"/>
    <xf numFmtId="3" fontId="0" fillId="10" borderId="14" xfId="0" applyNumberFormat="1" applyFill="1" applyBorder="1"/>
    <xf numFmtId="165" fontId="0" fillId="10" borderId="14" xfId="3" applyNumberFormat="1" applyFont="1" applyFill="1" applyBorder="1"/>
    <xf numFmtId="3" fontId="0" fillId="10" borderId="14" xfId="1" applyNumberFormat="1" applyFont="1" applyFill="1" applyBorder="1" applyAlignment="1">
      <alignment horizontal="center"/>
    </xf>
    <xf numFmtId="3" fontId="0" fillId="10" borderId="0" xfId="0" applyNumberFormat="1" applyFill="1" applyAlignment="1">
      <alignment horizontal="right"/>
    </xf>
    <xf numFmtId="3" fontId="0" fillId="10" borderId="0" xfId="0" applyNumberFormat="1" applyFill="1" applyAlignment="1">
      <alignment horizontal="center"/>
    </xf>
    <xf numFmtId="164" fontId="0" fillId="10" borderId="0" xfId="1" applyNumberFormat="1" applyFont="1" applyFill="1" applyBorder="1" applyAlignment="1">
      <alignment horizontal="center"/>
    </xf>
    <xf numFmtId="164" fontId="0" fillId="10" borderId="9" xfId="1" applyNumberFormat="1" applyFont="1" applyFill="1" applyBorder="1" applyAlignment="1">
      <alignment horizontal="center"/>
    </xf>
    <xf numFmtId="1" fontId="0" fillId="26" borderId="0" xfId="1" applyNumberFormat="1" applyFont="1" applyFill="1" applyBorder="1" applyAlignment="1">
      <alignment horizontal="right" vertical="center"/>
    </xf>
    <xf numFmtId="167" fontId="0" fillId="10" borderId="14" xfId="3" applyNumberFormat="1" applyFont="1" applyFill="1" applyBorder="1" applyAlignment="1">
      <alignment horizontal="center"/>
    </xf>
    <xf numFmtId="9" fontId="0" fillId="10" borderId="14" xfId="1" applyFont="1" applyFill="1" applyBorder="1" applyAlignment="1">
      <alignment horizontal="center" vertical="center"/>
    </xf>
    <xf numFmtId="9" fontId="4" fillId="27" borderId="14" xfId="1" applyFont="1" applyFill="1" applyBorder="1" applyAlignment="1">
      <alignment horizontal="center" vertical="center"/>
    </xf>
    <xf numFmtId="9" fontId="4" fillId="27" borderId="0" xfId="1" applyFont="1" applyFill="1" applyBorder="1" applyAlignment="1">
      <alignment horizontal="center" vertical="center"/>
    </xf>
    <xf numFmtId="3" fontId="0" fillId="10" borderId="0" xfId="1" applyNumberFormat="1" applyFont="1" applyFill="1" applyBorder="1" applyAlignment="1">
      <alignment horizontal="center"/>
    </xf>
    <xf numFmtId="3" fontId="0" fillId="10" borderId="14" xfId="0" applyNumberFormat="1" applyFill="1" applyBorder="1" applyAlignment="1">
      <alignment horizontal="center"/>
    </xf>
    <xf numFmtId="3" fontId="0" fillId="10" borderId="8" xfId="0" applyNumberFormat="1" applyFill="1" applyBorder="1" applyAlignment="1">
      <alignment horizontal="right"/>
    </xf>
    <xf numFmtId="165" fontId="0" fillId="10" borderId="0" xfId="3" applyNumberFormat="1" applyFont="1" applyFill="1" applyBorder="1" applyAlignment="1">
      <alignment horizontal="right"/>
    </xf>
    <xf numFmtId="1" fontId="0" fillId="26" borderId="0" xfId="1" applyNumberFormat="1" applyFont="1" applyFill="1" applyBorder="1" applyAlignment="1">
      <alignment horizontal="right"/>
    </xf>
    <xf numFmtId="164" fontId="0" fillId="26" borderId="9" xfId="1" applyNumberFormat="1" applyFont="1" applyFill="1" applyBorder="1" applyAlignment="1">
      <alignment horizontal="center"/>
    </xf>
    <xf numFmtId="3" fontId="0" fillId="26" borderId="8" xfId="0" applyNumberFormat="1" applyFill="1" applyBorder="1" applyAlignment="1">
      <alignment horizontal="right"/>
    </xf>
    <xf numFmtId="3" fontId="0" fillId="26" borderId="0" xfId="0" applyNumberFormat="1" applyFill="1" applyAlignment="1">
      <alignment horizontal="right" vertical="center"/>
    </xf>
    <xf numFmtId="3" fontId="0" fillId="26" borderId="0" xfId="0" applyNumberFormat="1" applyFill="1" applyAlignment="1">
      <alignment horizontal="right"/>
    </xf>
    <xf numFmtId="3" fontId="0" fillId="10" borderId="8" xfId="1" applyNumberFormat="1" applyFont="1" applyFill="1" applyBorder="1" applyAlignment="1">
      <alignment horizontal="center"/>
    </xf>
    <xf numFmtId="164" fontId="0" fillId="10" borderId="9" xfId="1" applyNumberFormat="1" applyFont="1" applyFill="1" applyBorder="1" applyAlignment="1">
      <alignment horizontal="center" vertical="center"/>
    </xf>
    <xf numFmtId="4" fontId="0" fillId="10" borderId="14" xfId="0" applyNumberFormat="1" applyFill="1" applyBorder="1" applyAlignment="1">
      <alignment horizontal="center" vertical="center"/>
    </xf>
    <xf numFmtId="43" fontId="0" fillId="10" borderId="14" xfId="0" applyNumberFormat="1" applyFill="1" applyBorder="1"/>
    <xf numFmtId="43" fontId="0" fillId="10" borderId="8" xfId="0" applyNumberFormat="1" applyFill="1" applyBorder="1"/>
    <xf numFmtId="43" fontId="0" fillId="10" borderId="14" xfId="3" applyFont="1" applyFill="1" applyBorder="1"/>
    <xf numFmtId="43" fontId="0" fillId="10" borderId="9" xfId="3" applyFont="1" applyFill="1" applyBorder="1"/>
    <xf numFmtId="43" fontId="0" fillId="10" borderId="14" xfId="0" applyNumberFormat="1" applyFill="1" applyBorder="1" applyAlignment="1">
      <alignment horizontal="center"/>
    </xf>
    <xf numFmtId="43" fontId="1" fillId="10" borderId="14" xfId="3" applyFont="1" applyFill="1" applyBorder="1" applyAlignment="1">
      <alignment horizontal="center"/>
    </xf>
    <xf numFmtId="43" fontId="1" fillId="10" borderId="14" xfId="3" applyFill="1" applyBorder="1" applyAlignment="1">
      <alignment horizontal="right"/>
    </xf>
    <xf numFmtId="43" fontId="4" fillId="27" borderId="14" xfId="3" applyFont="1" applyFill="1" applyBorder="1" applyAlignment="1">
      <alignment horizontal="right"/>
    </xf>
    <xf numFmtId="165" fontId="1" fillId="10" borderId="14" xfId="3" applyNumberFormat="1" applyFont="1" applyFill="1" applyBorder="1"/>
    <xf numFmtId="37" fontId="0" fillId="10" borderId="14" xfId="0" applyNumberFormat="1" applyFill="1" applyBorder="1"/>
    <xf numFmtId="9" fontId="1" fillId="10" borderId="14" xfId="1" applyFont="1" applyFill="1" applyBorder="1"/>
    <xf numFmtId="43" fontId="2" fillId="10" borderId="14" xfId="3" applyFont="1" applyFill="1" applyBorder="1"/>
    <xf numFmtId="43" fontId="2" fillId="10" borderId="9" xfId="3" applyFont="1" applyFill="1" applyBorder="1"/>
    <xf numFmtId="1" fontId="0" fillId="26" borderId="9" xfId="1" applyNumberFormat="1" applyFont="1" applyFill="1" applyBorder="1" applyAlignment="1">
      <alignment horizontal="right"/>
    </xf>
    <xf numFmtId="165" fontId="0" fillId="10" borderId="8" xfId="3" applyNumberFormat="1" applyFont="1" applyFill="1" applyBorder="1" applyAlignment="1">
      <alignment horizontal="center" vertical="center"/>
    </xf>
    <xf numFmtId="165" fontId="0" fillId="10" borderId="0" xfId="3" applyNumberFormat="1" applyFont="1" applyFill="1" applyBorder="1" applyAlignment="1">
      <alignment horizontal="center" vertical="center"/>
    </xf>
    <xf numFmtId="43" fontId="0" fillId="10" borderId="9" xfId="3" applyFont="1" applyFill="1" applyBorder="1" applyAlignment="1">
      <alignment horizontal="center" vertical="center"/>
    </xf>
    <xf numFmtId="37" fontId="0" fillId="10" borderId="8" xfId="3" applyNumberFormat="1" applyFont="1" applyFill="1" applyBorder="1"/>
    <xf numFmtId="37" fontId="0" fillId="10" borderId="0" xfId="3" applyNumberFormat="1" applyFont="1" applyFill="1" applyBorder="1"/>
    <xf numFmtId="2" fontId="0" fillId="10" borderId="8" xfId="0" applyNumberFormat="1" applyFill="1" applyBorder="1"/>
    <xf numFmtId="2" fontId="0" fillId="10" borderId="0" xfId="0" applyNumberFormat="1" applyFill="1"/>
    <xf numFmtId="4" fontId="0" fillId="10" borderId="9" xfId="0" applyNumberFormat="1" applyFill="1" applyBorder="1"/>
    <xf numFmtId="165" fontId="15" fillId="0" borderId="0" xfId="3" applyNumberFormat="1" applyFont="1" applyFill="1" applyAlignment="1">
      <alignment horizontal="center" vertical="center"/>
    </xf>
    <xf numFmtId="164" fontId="20" fillId="14" borderId="0" xfId="0" applyNumberFormat="1" applyFont="1" applyFill="1" applyAlignment="1">
      <alignment horizontal="right" vertical="center"/>
    </xf>
    <xf numFmtId="164" fontId="20" fillId="16" borderId="0" xfId="0" applyNumberFormat="1" applyFont="1" applyFill="1" applyAlignment="1">
      <alignment horizontal="right" vertical="center"/>
    </xf>
    <xf numFmtId="164" fontId="20" fillId="17" borderId="0" xfId="0" applyNumberFormat="1" applyFont="1" applyFill="1" applyAlignment="1">
      <alignment horizontal="right" vertical="center"/>
    </xf>
    <xf numFmtId="170" fontId="20" fillId="16" borderId="0" xfId="0" applyNumberFormat="1" applyFont="1" applyFill="1" applyAlignment="1">
      <alignment horizontal="right" vertical="center"/>
    </xf>
    <xf numFmtId="3" fontId="20" fillId="16" borderId="0" xfId="3" applyNumberFormat="1" applyFont="1" applyFill="1" applyAlignment="1">
      <alignment horizontal="right" vertical="center"/>
    </xf>
    <xf numFmtId="0" fontId="0" fillId="15" borderId="1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4" fontId="0" fillId="0" borderId="17" xfId="1" applyNumberFormat="1" applyFont="1" applyBorder="1"/>
    <xf numFmtId="0" fontId="0" fillId="0" borderId="17" xfId="0" applyBorder="1"/>
    <xf numFmtId="164" fontId="0" fillId="0" borderId="24" xfId="1" applyNumberFormat="1" applyFont="1" applyBorder="1"/>
    <xf numFmtId="0" fontId="0" fillId="0" borderId="25" xfId="0" applyBorder="1"/>
    <xf numFmtId="0" fontId="0" fillId="0" borderId="26" xfId="0" applyBorder="1"/>
    <xf numFmtId="164" fontId="0" fillId="0" borderId="35" xfId="1" applyNumberFormat="1" applyFont="1" applyBorder="1"/>
    <xf numFmtId="0" fontId="0" fillId="0" borderId="36" xfId="0" applyBorder="1"/>
    <xf numFmtId="0" fontId="0" fillId="0" borderId="35" xfId="0" applyBorder="1"/>
    <xf numFmtId="0" fontId="0" fillId="0" borderId="21" xfId="0" applyBorder="1"/>
    <xf numFmtId="0" fontId="0" fillId="0" borderId="22" xfId="0" applyBorder="1"/>
    <xf numFmtId="0" fontId="0" fillId="0" borderId="37" xfId="0" applyBorder="1"/>
    <xf numFmtId="0" fontId="0" fillId="0" borderId="38" xfId="0" applyBorder="1"/>
    <xf numFmtId="164" fontId="0" fillId="0" borderId="38" xfId="1" applyNumberFormat="1" applyFont="1" applyBorder="1"/>
    <xf numFmtId="164" fontId="0" fillId="0" borderId="39" xfId="1" applyNumberFormat="1" applyFont="1" applyBorder="1"/>
    <xf numFmtId="164" fontId="0" fillId="0" borderId="25" xfId="1" applyNumberFormat="1" applyFont="1" applyBorder="1"/>
    <xf numFmtId="164" fontId="0" fillId="0" borderId="22" xfId="1" applyNumberFormat="1" applyFont="1" applyBorder="1"/>
    <xf numFmtId="0" fontId="0" fillId="4" borderId="5" xfId="0" applyFill="1" applyBorder="1" applyAlignment="1">
      <alignment horizontal="center" vertical="center"/>
    </xf>
    <xf numFmtId="164" fontId="0" fillId="0" borderId="37" xfId="1" applyNumberFormat="1" applyFont="1" applyBorder="1"/>
    <xf numFmtId="0" fontId="0" fillId="28" borderId="17" xfId="0" applyFill="1" applyBorder="1" applyAlignment="1">
      <alignment horizontal="center" vertical="center"/>
    </xf>
    <xf numFmtId="4" fontId="0" fillId="0" borderId="17" xfId="0" applyNumberFormat="1" applyBorder="1"/>
    <xf numFmtId="4" fontId="0" fillId="0" borderId="35" xfId="0" applyNumberFormat="1" applyBorder="1"/>
    <xf numFmtId="4" fontId="0" fillId="0" borderId="22" xfId="0" applyNumberFormat="1" applyBorder="1"/>
    <xf numFmtId="0" fontId="0" fillId="15" borderId="40" xfId="0" applyFill="1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4" fontId="0" fillId="0" borderId="24" xfId="0" applyNumberFormat="1" applyBorder="1"/>
    <xf numFmtId="4" fontId="0" fillId="0" borderId="25" xfId="0" applyNumberFormat="1" applyBorder="1"/>
    <xf numFmtId="0" fontId="0" fillId="4" borderId="43" xfId="0" applyFill="1" applyBorder="1" applyAlignment="1">
      <alignment horizontal="center" vertical="center"/>
    </xf>
    <xf numFmtId="4" fontId="0" fillId="0" borderId="37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170" fontId="0" fillId="0" borderId="17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170" fontId="0" fillId="0" borderId="35" xfId="0" applyNumberFormat="1" applyBorder="1"/>
    <xf numFmtId="170" fontId="0" fillId="0" borderId="36" xfId="0" applyNumberFormat="1" applyBorder="1"/>
    <xf numFmtId="170" fontId="0" fillId="0" borderId="22" xfId="0" applyNumberFormat="1" applyBorder="1"/>
    <xf numFmtId="170" fontId="0" fillId="0" borderId="23" xfId="0" applyNumberFormat="1" applyBorder="1"/>
    <xf numFmtId="170" fontId="0" fillId="0" borderId="37" xfId="0" applyNumberFormat="1" applyBorder="1"/>
    <xf numFmtId="170" fontId="0" fillId="0" borderId="38" xfId="0" applyNumberFormat="1" applyBorder="1"/>
    <xf numFmtId="170" fontId="0" fillId="0" borderId="39" xfId="0" applyNumberFormat="1" applyBorder="1"/>
    <xf numFmtId="170" fontId="0" fillId="0" borderId="17" xfId="0" applyNumberFormat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70" fontId="0" fillId="0" borderId="38" xfId="0" applyNumberFormat="1" applyBorder="1" applyAlignment="1">
      <alignment horizontal="center" vertical="center"/>
    </xf>
    <xf numFmtId="0" fontId="0" fillId="15" borderId="44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7" fillId="19" borderId="5" xfId="0" applyFont="1" applyFill="1" applyBorder="1" applyAlignment="1">
      <alignment horizontal="center" vertical="center"/>
    </xf>
    <xf numFmtId="0" fontId="27" fillId="19" borderId="6" xfId="0" applyFont="1" applyFill="1" applyBorder="1" applyAlignment="1">
      <alignment horizontal="center" vertical="center"/>
    </xf>
    <xf numFmtId="0" fontId="27" fillId="19" borderId="7" xfId="0" applyFont="1" applyFill="1" applyBorder="1" applyAlignment="1">
      <alignment horizontal="center" vertical="center"/>
    </xf>
    <xf numFmtId="0" fontId="27" fillId="19" borderId="24" xfId="0" applyFont="1" applyFill="1" applyBorder="1" applyAlignment="1">
      <alignment horizontal="center" vertical="center"/>
    </xf>
    <xf numFmtId="0" fontId="27" fillId="19" borderId="25" xfId="0" applyFont="1" applyFill="1" applyBorder="1" applyAlignment="1">
      <alignment horizontal="center" vertical="center"/>
    </xf>
    <xf numFmtId="0" fontId="27" fillId="19" borderId="26" xfId="0" applyFont="1" applyFill="1" applyBorder="1" applyAlignment="1">
      <alignment horizontal="center" vertical="center"/>
    </xf>
    <xf numFmtId="0" fontId="27" fillId="19" borderId="32" xfId="0" applyFont="1" applyFill="1" applyBorder="1" applyAlignment="1">
      <alignment horizontal="center" vertical="center"/>
    </xf>
    <xf numFmtId="0" fontId="27" fillId="19" borderId="33" xfId="0" applyFont="1" applyFill="1" applyBorder="1" applyAlignment="1">
      <alignment horizontal="center" vertical="center"/>
    </xf>
    <xf numFmtId="0" fontId="27" fillId="19" borderId="3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0" borderId="2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16" borderId="0" xfId="0" applyFont="1" applyFill="1" applyAlignment="1">
      <alignment horizontal="center" wrapText="1"/>
    </xf>
    <xf numFmtId="0" fontId="17" fillId="13" borderId="0" xfId="0" applyFont="1" applyFill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5">
    <cellStyle name="Comma" xfId="3" builtinId="3"/>
    <cellStyle name="Hyperlink" xfId="4" builtinId="8"/>
    <cellStyle name="Normal" xfId="0" builtinId="0"/>
    <cellStyle name="Normal 2" xfId="2" xr:uid="{00000000-0005-0000-0000-000003000000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000"/>
      <color rgb="FFF2DCDB"/>
      <color rgb="FF92D050"/>
      <color rgb="FFFFFF99"/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Charts!$B$2</c:f>
              <c:strCache>
                <c:ptCount val="1"/>
                <c:pt idx="0">
                  <c:v>Actual/Reported 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Charts!$B$3:$B$11</c:f>
              <c:numCache>
                <c:formatCode>0.0%</c:formatCode>
                <c:ptCount val="9"/>
                <c:pt idx="0">
                  <c:v>0.81172655092453327</c:v>
                </c:pt>
                <c:pt idx="1">
                  <c:v>0.80512128055596421</c:v>
                </c:pt>
                <c:pt idx="2">
                  <c:v>0.82434113614350024</c:v>
                </c:pt>
                <c:pt idx="3">
                  <c:v>0.90808510176135382</c:v>
                </c:pt>
                <c:pt idx="5">
                  <c:v>0.85941051406992419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E2-43E2-AABD-3E21AEDFE71D}"/>
            </c:ext>
          </c:extLst>
        </c:ser>
        <c:ser>
          <c:idx val="1"/>
          <c:order val="1"/>
          <c:tx>
            <c:strRef>
              <c:f>Charts!$C$2</c:f>
              <c:strCache>
                <c:ptCount val="1"/>
                <c:pt idx="0">
                  <c:v>Old 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C000"/>
              </a:solidFill>
              <a:ln w="25400">
                <a:solidFill>
                  <a:srgbClr val="FFC000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Charts!$C$3:$C$11</c:f>
              <c:numCache>
                <c:formatCode>General</c:formatCode>
                <c:ptCount val="9"/>
                <c:pt idx="4" formatCode="0.0%">
                  <c:v>0.75</c:v>
                </c:pt>
                <c:pt idx="6" formatCode="0.0%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E2-43E2-AABD-3E21AEDFE71D}"/>
            </c:ext>
          </c:extLst>
        </c:ser>
        <c:ser>
          <c:idx val="2"/>
          <c:order val="2"/>
          <c:tx>
            <c:strRef>
              <c:f>Charts!$D$2</c:f>
              <c:strCache>
                <c:ptCount val="1"/>
                <c:pt idx="0">
                  <c:v>NewTarget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Charts!$D$3:$D$11</c:f>
              <c:numCache>
                <c:formatCode>General</c:formatCode>
                <c:ptCount val="9"/>
                <c:pt idx="7" formatCode="0.0%">
                  <c:v>0.7</c:v>
                </c:pt>
                <c:pt idx="8" formatCode="0.0%">
                  <c:v>0.69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E2-43E2-AABD-3E21AEDFE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259088"/>
        <c:axId val="305254096"/>
      </c:scatterChart>
      <c:valAx>
        <c:axId val="305259088"/>
        <c:scaling>
          <c:orientation val="minMax"/>
          <c:max val="2026"/>
          <c:min val="2017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4096"/>
        <c:crosses val="autoZero"/>
        <c:crossBetween val="midCat"/>
        <c:minorUnit val="2"/>
      </c:valAx>
      <c:valAx>
        <c:axId val="30525409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113580560494456"/>
          <c:y val="2.7510316368638238E-2"/>
          <c:w val="0.85198157974818378"/>
          <c:h val="8.8899651192529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25000"/>
          <a:lumOff val="75000"/>
          <a:alpha val="94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Charts!$E$2</c:f>
              <c:strCache>
                <c:ptCount val="1"/>
                <c:pt idx="0">
                  <c:v>Actual/Reported 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Charts!$E$3:$E$11</c:f>
              <c:numCache>
                <c:formatCode>0.0%</c:formatCode>
                <c:ptCount val="9"/>
                <c:pt idx="0">
                  <c:v>0.81927839601388586</c:v>
                </c:pt>
                <c:pt idx="1">
                  <c:v>0.83448705704928927</c:v>
                </c:pt>
                <c:pt idx="2">
                  <c:v>0.8427028540613164</c:v>
                </c:pt>
                <c:pt idx="3">
                  <c:v>0.91903052399048413</c:v>
                </c:pt>
                <c:pt idx="5">
                  <c:v>0.90753763015617717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D3-4E60-BE15-34EB41B58134}"/>
            </c:ext>
          </c:extLst>
        </c:ser>
        <c:ser>
          <c:idx val="1"/>
          <c:order val="1"/>
          <c:tx>
            <c:strRef>
              <c:f>Charts!$F$2</c:f>
              <c:strCache>
                <c:ptCount val="1"/>
                <c:pt idx="0">
                  <c:v>Old 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C000"/>
              </a:solidFill>
              <a:ln w="25400">
                <a:solidFill>
                  <a:srgbClr val="FFC000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Charts!$F$3:$F$11</c:f>
              <c:numCache>
                <c:formatCode>0.0%</c:formatCode>
                <c:ptCount val="9"/>
                <c:pt idx="4">
                  <c:v>0.7</c:v>
                </c:pt>
                <c:pt idx="6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D3-4E60-BE15-34EB41B58134}"/>
            </c:ext>
          </c:extLst>
        </c:ser>
        <c:ser>
          <c:idx val="2"/>
          <c:order val="2"/>
          <c:tx>
            <c:strRef>
              <c:f>Charts!$G$2</c:f>
              <c:strCache>
                <c:ptCount val="1"/>
                <c:pt idx="0">
                  <c:v>NewTarget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Charts!$G$3:$G$11</c:f>
              <c:numCache>
                <c:formatCode>0.0%</c:formatCode>
                <c:ptCount val="9"/>
                <c:pt idx="7">
                  <c:v>0.7</c:v>
                </c:pt>
                <c:pt idx="8">
                  <c:v>0.69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D3-4E60-BE15-34EB41B58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259088"/>
        <c:axId val="305254096"/>
      </c:scatterChart>
      <c:valAx>
        <c:axId val="305259088"/>
        <c:scaling>
          <c:orientation val="minMax"/>
          <c:max val="2026"/>
          <c:min val="2017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4096"/>
        <c:crosses val="autoZero"/>
        <c:crossBetween val="midCat"/>
        <c:minorUnit val="2"/>
      </c:valAx>
      <c:valAx>
        <c:axId val="30525409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070436110740394"/>
          <c:y val="3.0360543167398193E-2"/>
          <c:w val="0.85198157974818378"/>
          <c:h val="8.8899651192529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25000"/>
          <a:lumOff val="75000"/>
          <a:alpha val="94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Charts!$H$2</c:f>
              <c:strCache>
                <c:ptCount val="1"/>
                <c:pt idx="0">
                  <c:v>Actual/Reported 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Charts!$H$3:$H$11</c:f>
              <c:numCache>
                <c:formatCode>#,##0.00</c:formatCode>
                <c:ptCount val="9"/>
                <c:pt idx="0">
                  <c:v>1.3860149978024436</c:v>
                </c:pt>
                <c:pt idx="1">
                  <c:v>1.4273348397663403</c:v>
                </c:pt>
                <c:pt idx="2">
                  <c:v>1.4317721229650029</c:v>
                </c:pt>
                <c:pt idx="3">
                  <c:v>1.3293889311580951</c:v>
                </c:pt>
                <c:pt idx="5">
                  <c:v>1.3745102391276744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31-48E8-859B-CBF36CA0AE79}"/>
            </c:ext>
          </c:extLst>
        </c:ser>
        <c:ser>
          <c:idx val="1"/>
          <c:order val="1"/>
          <c:tx>
            <c:strRef>
              <c:f>Charts!$I$2</c:f>
              <c:strCache>
                <c:ptCount val="1"/>
                <c:pt idx="0">
                  <c:v>Old 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C000"/>
              </a:solidFill>
              <a:ln w="25400">
                <a:solidFill>
                  <a:srgbClr val="FFC000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Charts!$I$3:$I$11</c:f>
              <c:numCache>
                <c:formatCode>#,##0.00</c:formatCode>
                <c:ptCount val="9"/>
                <c:pt idx="4">
                  <c:v>1.7</c:v>
                </c:pt>
                <c:pt idx="6">
                  <c:v>1.7552795071281575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31-48E8-859B-CBF36CA0AE79}"/>
            </c:ext>
          </c:extLst>
        </c:ser>
        <c:ser>
          <c:idx val="2"/>
          <c:order val="2"/>
          <c:tx>
            <c:strRef>
              <c:f>Charts!$J$2</c:f>
              <c:strCache>
                <c:ptCount val="1"/>
                <c:pt idx="0">
                  <c:v>NewTarget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Charts!$J$3:$J$11</c:f>
              <c:numCache>
                <c:formatCode>#,##0.00</c:formatCode>
                <c:ptCount val="9"/>
                <c:pt idx="7">
                  <c:v>1.7552795071281575</c:v>
                </c:pt>
                <c:pt idx="8">
                  <c:v>1.8352795071281576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31-48E8-859B-CBF36CA0A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259088"/>
        <c:axId val="305254096"/>
      </c:scatterChart>
      <c:valAx>
        <c:axId val="305259088"/>
        <c:scaling>
          <c:orientation val="minMax"/>
          <c:max val="2026"/>
          <c:min val="2017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4096"/>
        <c:crosses val="autoZero"/>
        <c:crossBetween val="midCat"/>
        <c:minorUnit val="2"/>
      </c:valAx>
      <c:valAx>
        <c:axId val="305254096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4097210701174504E-2"/>
          <c:y val="3.4677128773537458E-2"/>
          <c:w val="0.85198157974818378"/>
          <c:h val="8.8899651192529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25000"/>
          <a:lumOff val="75000"/>
          <a:alpha val="94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Charts!$K$2</c:f>
              <c:strCache>
                <c:ptCount val="1"/>
                <c:pt idx="0">
                  <c:v>Actual/Reported 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Charts!$K$3:$K$11</c:f>
              <c:numCache>
                <c:formatCode>0.0</c:formatCode>
                <c:ptCount val="9"/>
                <c:pt idx="0">
                  <c:v>12.8</c:v>
                </c:pt>
                <c:pt idx="1">
                  <c:v>13.7</c:v>
                </c:pt>
                <c:pt idx="2">
                  <c:v>12.2</c:v>
                </c:pt>
                <c:pt idx="3">
                  <c:v>7.2</c:v>
                </c:pt>
                <c:pt idx="5">
                  <c:v>10.4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20-4A34-B1B4-37AC55E2409B}"/>
            </c:ext>
          </c:extLst>
        </c:ser>
        <c:ser>
          <c:idx val="1"/>
          <c:order val="1"/>
          <c:tx>
            <c:strRef>
              <c:f>Charts!$L$2</c:f>
              <c:strCache>
                <c:ptCount val="1"/>
                <c:pt idx="0">
                  <c:v>Old 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C000"/>
              </a:solidFill>
              <a:ln w="25400">
                <a:solidFill>
                  <a:srgbClr val="FFC000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Charts!$L$3:$L$11</c:f>
              <c:numCache>
                <c:formatCode>0.0</c:formatCode>
                <c:ptCount val="9"/>
                <c:pt idx="4">
                  <c:v>14</c:v>
                </c:pt>
                <c:pt idx="6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20-4A34-B1B4-37AC55E2409B}"/>
            </c:ext>
          </c:extLst>
        </c:ser>
        <c:ser>
          <c:idx val="2"/>
          <c:order val="2"/>
          <c:tx>
            <c:strRef>
              <c:f>Charts!$M$2</c:f>
              <c:strCache>
                <c:ptCount val="1"/>
                <c:pt idx="0">
                  <c:v>NewTarget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Charts!$M$3:$M$11</c:f>
              <c:numCache>
                <c:formatCode>0.0</c:formatCode>
                <c:ptCount val="9"/>
                <c:pt idx="7">
                  <c:v>15</c:v>
                </c:pt>
                <c:pt idx="8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20-4A34-B1B4-37AC55E24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259088"/>
        <c:axId val="305254096"/>
      </c:scatterChart>
      <c:valAx>
        <c:axId val="305259088"/>
        <c:scaling>
          <c:orientation val="minMax"/>
          <c:max val="2026"/>
          <c:min val="2017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4096"/>
        <c:crosses val="autoZero"/>
        <c:crossBetween val="midCat"/>
        <c:minorUnit val="2"/>
      </c:valAx>
      <c:valAx>
        <c:axId val="305254096"/>
        <c:scaling>
          <c:orientation val="minMax"/>
          <c:max val="16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255054380183309E-2"/>
          <c:y val="3.531522473639441E-2"/>
          <c:w val="0.8527540018513099"/>
          <c:h val="8.8471661124890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25000"/>
          <a:lumOff val="75000"/>
          <a:alpha val="94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Charts!$N$2</c:f>
              <c:strCache>
                <c:ptCount val="1"/>
                <c:pt idx="0">
                  <c:v>Actual/Reported 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Charts!$N$3:$N$11</c:f>
              <c:numCache>
                <c:formatCode>0.0</c:formatCode>
                <c:ptCount val="9"/>
                <c:pt idx="0">
                  <c:v>15.5</c:v>
                </c:pt>
                <c:pt idx="1">
                  <c:v>18.3</c:v>
                </c:pt>
                <c:pt idx="2">
                  <c:v>13.4</c:v>
                </c:pt>
                <c:pt idx="3">
                  <c:v>7.9</c:v>
                </c:pt>
                <c:pt idx="5">
                  <c:v>12.2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94-4894-AC36-5B07E2455963}"/>
            </c:ext>
          </c:extLst>
        </c:ser>
        <c:ser>
          <c:idx val="1"/>
          <c:order val="1"/>
          <c:tx>
            <c:strRef>
              <c:f>Charts!$O$2</c:f>
              <c:strCache>
                <c:ptCount val="1"/>
                <c:pt idx="0">
                  <c:v>Old 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C000"/>
              </a:solidFill>
              <a:ln w="25400">
                <a:solidFill>
                  <a:srgbClr val="FFC000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Charts!$O$3:$O$11</c:f>
              <c:numCache>
                <c:formatCode>0.0</c:formatCode>
                <c:ptCount val="9"/>
                <c:pt idx="4">
                  <c:v>15</c:v>
                </c:pt>
                <c:pt idx="6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94-4894-AC36-5B07E2455963}"/>
            </c:ext>
          </c:extLst>
        </c:ser>
        <c:ser>
          <c:idx val="2"/>
          <c:order val="2"/>
          <c:tx>
            <c:strRef>
              <c:f>Charts!$P$2</c:f>
              <c:strCache>
                <c:ptCount val="1"/>
                <c:pt idx="0">
                  <c:v>NewTarget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Charts!$P$3:$P$11</c:f>
              <c:numCache>
                <c:formatCode>0.0</c:formatCode>
                <c:ptCount val="9"/>
                <c:pt idx="7">
                  <c:v>16</c:v>
                </c:pt>
                <c:pt idx="8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94-4894-AC36-5B07E2455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259088"/>
        <c:axId val="305254096"/>
      </c:scatterChart>
      <c:valAx>
        <c:axId val="305259088"/>
        <c:scaling>
          <c:orientation val="minMax"/>
          <c:max val="2026"/>
          <c:min val="2017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4096"/>
        <c:crosses val="autoZero"/>
        <c:crossBetween val="midCat"/>
        <c:minorUnit val="2"/>
      </c:valAx>
      <c:valAx>
        <c:axId val="305254096"/>
        <c:scaling>
          <c:orientation val="minMax"/>
          <c:max val="2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7249142739839086E-2"/>
          <c:y val="4.8614411003502611E-2"/>
          <c:w val="0.8527540018513099"/>
          <c:h val="8.8471661124890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25000"/>
          <a:lumOff val="75000"/>
          <a:alpha val="94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Charts!$Q$2</c:f>
              <c:strCache>
                <c:ptCount val="1"/>
                <c:pt idx="0">
                  <c:v>Actual/Reported 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Charts!$Q$3:$Q$11</c:f>
              <c:numCache>
                <c:formatCode>0.0</c:formatCode>
                <c:ptCount val="9"/>
                <c:pt idx="0">
                  <c:v>7.4</c:v>
                </c:pt>
                <c:pt idx="1">
                  <c:v>7.2</c:v>
                </c:pt>
                <c:pt idx="2">
                  <c:v>6.3</c:v>
                </c:pt>
                <c:pt idx="3">
                  <c:v>4.5999999999999996</c:v>
                </c:pt>
                <c:pt idx="5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F4-469F-A5DB-F6979B4CAB48}"/>
            </c:ext>
          </c:extLst>
        </c:ser>
        <c:ser>
          <c:idx val="2"/>
          <c:order val="1"/>
          <c:tx>
            <c:strRef>
              <c:f>Charts!$S$2</c:f>
              <c:strCache>
                <c:ptCount val="1"/>
                <c:pt idx="0">
                  <c:v>NewTarget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Charts!$S$3:$S$11</c:f>
              <c:numCache>
                <c:formatCode>0.0</c:formatCode>
                <c:ptCount val="9"/>
                <c:pt idx="7">
                  <c:v>9</c:v>
                </c:pt>
                <c:pt idx="8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F4-469F-A5DB-F6979B4CA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259088"/>
        <c:axId val="305254096"/>
      </c:scatterChart>
      <c:valAx>
        <c:axId val="305259088"/>
        <c:scaling>
          <c:orientation val="minMax"/>
          <c:max val="2026"/>
          <c:min val="2017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4096"/>
        <c:crosses val="autoZero"/>
        <c:crossBetween val="midCat"/>
        <c:minorUnit val="2"/>
      </c:valAx>
      <c:valAx>
        <c:axId val="305254096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3288822328893E-2"/>
          <c:y val="4.8905048204162228E-2"/>
          <c:w val="0.8527540018513099"/>
          <c:h val="8.8471661124890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25000"/>
          <a:lumOff val="75000"/>
          <a:alpha val="94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Charts!$T$2</c:f>
              <c:strCache>
                <c:ptCount val="1"/>
                <c:pt idx="0">
                  <c:v>Actual/Reported 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Charts!$T$3:$T$11</c:f>
              <c:numCache>
                <c:formatCode>0.0</c:formatCode>
                <c:ptCount val="9"/>
                <c:pt idx="0">
                  <c:v>9.6999999999999993</c:v>
                </c:pt>
                <c:pt idx="1">
                  <c:v>10.8</c:v>
                </c:pt>
                <c:pt idx="2">
                  <c:v>11.1</c:v>
                </c:pt>
                <c:pt idx="3">
                  <c:v>5.7</c:v>
                </c:pt>
                <c:pt idx="5">
                  <c:v>9.6999999999999993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65-41D7-A94B-2F3B971A3B8C}"/>
            </c:ext>
          </c:extLst>
        </c:ser>
        <c:ser>
          <c:idx val="2"/>
          <c:order val="1"/>
          <c:tx>
            <c:strRef>
              <c:f>Charts!$V$2</c:f>
              <c:strCache>
                <c:ptCount val="1"/>
                <c:pt idx="0">
                  <c:v>NewTarget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Charts!$A$3:$A$11</c:f>
              <c:numCache>
                <c:formatCode>General</c:formatCod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2024</c:v>
                </c:pt>
                <c:pt idx="8">
                  <c:v>2026</c:v>
                </c:pt>
              </c:numCache>
            </c:numRef>
          </c:xVal>
          <c:yVal>
            <c:numRef>
              <c:f>Charts!$V$3:$V$11</c:f>
              <c:numCache>
                <c:formatCode>General</c:formatCode>
                <c:ptCount val="9"/>
                <c:pt idx="7" formatCode="0.0">
                  <c:v>14</c:v>
                </c:pt>
                <c:pt idx="8" formatCode="0.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65-41D7-A94B-2F3B971A3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259088"/>
        <c:axId val="305254096"/>
      </c:scatterChart>
      <c:valAx>
        <c:axId val="305259088"/>
        <c:scaling>
          <c:orientation val="minMax"/>
          <c:max val="2026"/>
          <c:min val="2017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  <a:alpha val="9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4096"/>
        <c:crosses val="autoZero"/>
        <c:crossBetween val="midCat"/>
        <c:minorUnit val="2"/>
      </c:valAx>
      <c:valAx>
        <c:axId val="305254096"/>
        <c:scaling>
          <c:orientation val="minMax"/>
          <c:max val="16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25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2446760023260568E-2"/>
          <c:y val="4.8009898344296913E-2"/>
          <c:w val="0.8527540018513099"/>
          <c:h val="8.8471661124890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25000"/>
          <a:lumOff val="75000"/>
          <a:alpha val="94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15240</xdr:colOff>
      <xdr:row>28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CD587E-E4DF-47CB-8C6D-F939DEFA6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28</xdr:row>
      <xdr:rowOff>123825</xdr:rowOff>
    </xdr:from>
    <xdr:to>
      <xdr:col>5</xdr:col>
      <xdr:colOff>539115</xdr:colOff>
      <xdr:row>43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639277-9C04-4012-9F7A-1459A5BF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201929</xdr:colOff>
      <xdr:row>44</xdr:row>
      <xdr:rowOff>11430</xdr:rowOff>
    </xdr:from>
    <xdr:to>
      <xdr:col>5</xdr:col>
      <xdr:colOff>533399</xdr:colOff>
      <xdr:row>59</xdr:row>
      <xdr:rowOff>34290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ED8910-80CE-4943-B56C-0358786C6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624840</xdr:colOff>
      <xdr:row>12</xdr:row>
      <xdr:rowOff>95250</xdr:rowOff>
    </xdr:from>
    <xdr:to>
      <xdr:col>11</xdr:col>
      <xdr:colOff>120015</xdr:colOff>
      <xdr:row>27</xdr:row>
      <xdr:rowOff>120015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50D064E-D4F0-4B56-9F67-FE2E57052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624840</xdr:colOff>
      <xdr:row>28</xdr:row>
      <xdr:rowOff>125730</xdr:rowOff>
    </xdr:from>
    <xdr:to>
      <xdr:col>11</xdr:col>
      <xdr:colOff>123825</xdr:colOff>
      <xdr:row>43</xdr:row>
      <xdr:rowOff>148590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ED70F04-202B-40E1-B82C-FE99C25DD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666750</xdr:colOff>
      <xdr:row>12</xdr:row>
      <xdr:rowOff>72390</xdr:rowOff>
    </xdr:from>
    <xdr:to>
      <xdr:col>16</xdr:col>
      <xdr:colOff>1297305</xdr:colOff>
      <xdr:row>27</xdr:row>
      <xdr:rowOff>100965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80FAEBF-FDAA-4F67-AAA9-DD4073CE1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662940</xdr:colOff>
      <xdr:row>28</xdr:row>
      <xdr:rowOff>152400</xdr:rowOff>
    </xdr:from>
    <xdr:to>
      <xdr:col>16</xdr:col>
      <xdr:colOff>1295400</xdr:colOff>
      <xdr:row>43</xdr:row>
      <xdr:rowOff>173355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887D68F-9CC8-4ABA-A370-288FAF28C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hwa.dot.gov/tpm/rule/170601pm3.pdf" TargetMode="External"/><Relationship Id="rId2" Type="http://schemas.openxmlformats.org/officeDocument/2006/relationships/hyperlink" Target="https://www.fhwa.dot.gov/tpm/rule/pm3/nonsov.pdf" TargetMode="External"/><Relationship Id="rId1" Type="http://schemas.openxmlformats.org/officeDocument/2006/relationships/hyperlink" Target="http://www.cattlab.umd.edu/MAP-21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fhwa.dot.gov/tpm/guidance/avo_facto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G63"/>
  <sheetViews>
    <sheetView workbookViewId="0"/>
  </sheetViews>
  <sheetFormatPr defaultRowHeight="14.5" x14ac:dyDescent="0.35"/>
  <cols>
    <col min="1" max="1" width="4.26953125" customWidth="1"/>
    <col min="6" max="6" width="23.7265625" customWidth="1"/>
  </cols>
  <sheetData>
    <row r="1" spans="1:2" s="32" customFormat="1" x14ac:dyDescent="0.35"/>
    <row r="2" spans="1:2" s="45" customFormat="1" ht="15.5" x14ac:dyDescent="0.35">
      <c r="A2" s="43" t="s">
        <v>0</v>
      </c>
    </row>
    <row r="3" spans="1:2" x14ac:dyDescent="0.35">
      <c r="A3" t="s">
        <v>1</v>
      </c>
    </row>
    <row r="4" spans="1:2" x14ac:dyDescent="0.35">
      <c r="A4" t="s">
        <v>2</v>
      </c>
    </row>
    <row r="5" spans="1:2" x14ac:dyDescent="0.35">
      <c r="A5" t="s">
        <v>3</v>
      </c>
    </row>
    <row r="7" spans="1:2" s="74" customFormat="1" x14ac:dyDescent="0.35">
      <c r="A7" s="75" t="s">
        <v>4</v>
      </c>
    </row>
    <row r="8" spans="1:2" s="74" customFormat="1" x14ac:dyDescent="0.35">
      <c r="A8" s="75"/>
    </row>
    <row r="9" spans="1:2" s="75" customFormat="1" x14ac:dyDescent="0.35">
      <c r="A9" s="75" t="s">
        <v>5</v>
      </c>
    </row>
    <row r="10" spans="1:2" x14ac:dyDescent="0.35">
      <c r="B10" s="5" t="s">
        <v>6</v>
      </c>
    </row>
    <row r="11" spans="1:2" s="75" customFormat="1" x14ac:dyDescent="0.35">
      <c r="B11" s="75" t="s">
        <v>7</v>
      </c>
    </row>
    <row r="12" spans="1:2" x14ac:dyDescent="0.35">
      <c r="B12" t="s">
        <v>8</v>
      </c>
    </row>
    <row r="13" spans="1:2" x14ac:dyDescent="0.35">
      <c r="B13" s="5" t="s">
        <v>9</v>
      </c>
    </row>
    <row r="14" spans="1:2" x14ac:dyDescent="0.35">
      <c r="A14" t="s">
        <v>10</v>
      </c>
      <c r="B14" s="5"/>
    </row>
    <row r="15" spans="1:2" x14ac:dyDescent="0.35">
      <c r="A15" t="s">
        <v>11</v>
      </c>
      <c r="B15" s="5"/>
    </row>
    <row r="16" spans="1:2" x14ac:dyDescent="0.35">
      <c r="A16" t="s">
        <v>12</v>
      </c>
      <c r="B16" s="5"/>
    </row>
    <row r="17" spans="1:7" x14ac:dyDescent="0.35">
      <c r="A17" t="s">
        <v>13</v>
      </c>
      <c r="B17" s="5"/>
    </row>
    <row r="18" spans="1:7" s="74" customFormat="1" x14ac:dyDescent="0.35"/>
    <row r="19" spans="1:7" x14ac:dyDescent="0.35">
      <c r="A19" t="s">
        <v>14</v>
      </c>
    </row>
    <row r="20" spans="1:7" x14ac:dyDescent="0.35">
      <c r="A20" t="s">
        <v>15</v>
      </c>
    </row>
    <row r="21" spans="1:7" s="32" customFormat="1" x14ac:dyDescent="0.35"/>
    <row r="22" spans="1:7" x14ac:dyDescent="0.35">
      <c r="A22" s="5" t="s">
        <v>16</v>
      </c>
    </row>
    <row r="23" spans="1:7" x14ac:dyDescent="0.35">
      <c r="A23" t="s">
        <v>17</v>
      </c>
    </row>
    <row r="24" spans="1:7" x14ac:dyDescent="0.35">
      <c r="A24" t="s">
        <v>18</v>
      </c>
    </row>
    <row r="25" spans="1:7" x14ac:dyDescent="0.35">
      <c r="A25" t="s">
        <v>19</v>
      </c>
      <c r="G25" t="s">
        <v>20</v>
      </c>
    </row>
    <row r="26" spans="1:7" x14ac:dyDescent="0.35">
      <c r="A26" s="44" t="s">
        <v>21</v>
      </c>
    </row>
    <row r="27" spans="1:7" x14ac:dyDescent="0.35">
      <c r="A27" t="s">
        <v>22</v>
      </c>
    </row>
    <row r="28" spans="1:7" x14ac:dyDescent="0.35">
      <c r="A28" t="s">
        <v>23</v>
      </c>
    </row>
    <row r="29" spans="1:7" x14ac:dyDescent="0.35">
      <c r="A29" t="s">
        <v>24</v>
      </c>
    </row>
    <row r="30" spans="1:7" x14ac:dyDescent="0.35">
      <c r="A30" t="s">
        <v>25</v>
      </c>
    </row>
    <row r="31" spans="1:7" x14ac:dyDescent="0.35">
      <c r="A31" t="s">
        <v>26</v>
      </c>
    </row>
    <row r="32" spans="1:7" s="32" customFormat="1" x14ac:dyDescent="0.35"/>
    <row r="33" spans="1:7" x14ac:dyDescent="0.35">
      <c r="A33" s="5" t="s">
        <v>27</v>
      </c>
    </row>
    <row r="34" spans="1:7" x14ac:dyDescent="0.35">
      <c r="A34" t="s">
        <v>28</v>
      </c>
    </row>
    <row r="35" spans="1:7" x14ac:dyDescent="0.35">
      <c r="A35" t="s">
        <v>18</v>
      </c>
    </row>
    <row r="36" spans="1:7" x14ac:dyDescent="0.35">
      <c r="A36" t="s">
        <v>29</v>
      </c>
      <c r="G36" t="s">
        <v>20</v>
      </c>
    </row>
    <row r="37" spans="1:7" x14ac:dyDescent="0.35">
      <c r="A37" s="44" t="s">
        <v>30</v>
      </c>
    </row>
    <row r="38" spans="1:7" x14ac:dyDescent="0.35">
      <c r="A38" t="s">
        <v>31</v>
      </c>
    </row>
    <row r="39" spans="1:7" x14ac:dyDescent="0.35">
      <c r="A39" t="s">
        <v>32</v>
      </c>
    </row>
    <row r="40" spans="1:7" x14ac:dyDescent="0.35">
      <c r="A40" t="s">
        <v>24</v>
      </c>
    </row>
    <row r="41" spans="1:7" x14ac:dyDescent="0.35">
      <c r="A41" t="s">
        <v>33</v>
      </c>
    </row>
    <row r="42" spans="1:7" x14ac:dyDescent="0.35">
      <c r="A42" t="s">
        <v>26</v>
      </c>
    </row>
    <row r="43" spans="1:7" s="32" customFormat="1" x14ac:dyDescent="0.35"/>
    <row r="44" spans="1:7" x14ac:dyDescent="0.35">
      <c r="A44" s="5" t="s">
        <v>34</v>
      </c>
    </row>
    <row r="45" spans="1:7" x14ac:dyDescent="0.35">
      <c r="A45" t="s">
        <v>35</v>
      </c>
    </row>
    <row r="46" spans="1:7" x14ac:dyDescent="0.35">
      <c r="A46" t="s">
        <v>36</v>
      </c>
    </row>
    <row r="47" spans="1:7" x14ac:dyDescent="0.35">
      <c r="A47" t="s">
        <v>37</v>
      </c>
    </row>
    <row r="48" spans="1:7" x14ac:dyDescent="0.35">
      <c r="A48" s="44" t="s">
        <v>38</v>
      </c>
    </row>
    <row r="49" spans="1:1" x14ac:dyDescent="0.35">
      <c r="A49" t="s">
        <v>39</v>
      </c>
    </row>
    <row r="50" spans="1:1" x14ac:dyDescent="0.35">
      <c r="A50" t="s">
        <v>40</v>
      </c>
    </row>
    <row r="51" spans="1:1" x14ac:dyDescent="0.35">
      <c r="A51" t="s">
        <v>41</v>
      </c>
    </row>
    <row r="52" spans="1:1" x14ac:dyDescent="0.35">
      <c r="A52" t="s">
        <v>42</v>
      </c>
    </row>
    <row r="53" spans="1:1" s="32" customFormat="1" x14ac:dyDescent="0.35"/>
    <row r="54" spans="1:1" x14ac:dyDescent="0.35">
      <c r="A54" s="5" t="s">
        <v>43</v>
      </c>
    </row>
    <row r="55" spans="1:1" x14ac:dyDescent="0.35">
      <c r="A55" t="s">
        <v>44</v>
      </c>
    </row>
    <row r="56" spans="1:1" x14ac:dyDescent="0.35">
      <c r="A56" t="s">
        <v>45</v>
      </c>
    </row>
    <row r="57" spans="1:1" x14ac:dyDescent="0.35">
      <c r="A57" t="s">
        <v>46</v>
      </c>
    </row>
    <row r="58" spans="1:1" x14ac:dyDescent="0.35">
      <c r="A58" s="44" t="s">
        <v>47</v>
      </c>
    </row>
    <row r="59" spans="1:1" x14ac:dyDescent="0.35">
      <c r="A59" t="s">
        <v>48</v>
      </c>
    </row>
    <row r="60" spans="1:1" x14ac:dyDescent="0.35">
      <c r="A60" t="s">
        <v>49</v>
      </c>
    </row>
    <row r="61" spans="1:1" x14ac:dyDescent="0.35">
      <c r="A61" t="s">
        <v>50</v>
      </c>
    </row>
    <row r="62" spans="1:1" x14ac:dyDescent="0.35">
      <c r="A62" t="s">
        <v>51</v>
      </c>
    </row>
    <row r="63" spans="1:1" s="32" customFormat="1" x14ac:dyDescent="0.3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C38C-44A3-4C4C-9A83-ED279A887C24}">
  <sheetPr>
    <tabColor rgb="FF00B050"/>
  </sheetPr>
  <dimension ref="A1:Q63"/>
  <sheetViews>
    <sheetView workbookViewId="0"/>
  </sheetViews>
  <sheetFormatPr defaultColWidth="8.7265625" defaultRowHeight="14.5" x14ac:dyDescent="0.35"/>
  <cols>
    <col min="1" max="1" width="22.26953125" customWidth="1"/>
    <col min="2" max="2" width="15.26953125" customWidth="1"/>
    <col min="3" max="3" width="17.7265625" customWidth="1"/>
    <col min="4" max="5" width="15.7265625" customWidth="1"/>
    <col min="6" max="6" width="15.26953125" customWidth="1"/>
    <col min="7" max="9" width="15.7265625" customWidth="1"/>
    <col min="10" max="10" width="14.26953125" customWidth="1"/>
    <col min="11" max="12" width="15.7265625" customWidth="1"/>
    <col min="13" max="13" width="14.26953125" customWidth="1"/>
    <col min="14" max="15" width="15.7265625" customWidth="1"/>
  </cols>
  <sheetData>
    <row r="1" spans="1:15" s="32" customFormat="1" x14ac:dyDescent="0.35">
      <c r="B1" s="40"/>
      <c r="C1" s="40"/>
      <c r="D1" s="40"/>
      <c r="E1" s="30"/>
      <c r="F1" s="40"/>
      <c r="G1" s="40"/>
      <c r="H1" s="29"/>
      <c r="I1" s="30"/>
    </row>
    <row r="2" spans="1:15" s="5" customFormat="1" x14ac:dyDescent="0.35">
      <c r="B2" s="676" t="s">
        <v>432</v>
      </c>
      <c r="C2" s="676"/>
      <c r="D2" s="676"/>
      <c r="E2" s="676"/>
      <c r="F2" s="676"/>
      <c r="G2" s="676"/>
      <c r="H2" s="676"/>
      <c r="I2" s="676"/>
      <c r="J2" s="676" t="s">
        <v>433</v>
      </c>
      <c r="K2" s="676"/>
      <c r="L2" s="676"/>
      <c r="M2" s="676"/>
      <c r="N2" s="676"/>
      <c r="O2" s="676"/>
    </row>
    <row r="3" spans="1:15" s="6" customFormat="1" x14ac:dyDescent="0.35">
      <c r="A3" s="157" t="s">
        <v>128</v>
      </c>
      <c r="B3" s="676" t="s">
        <v>434</v>
      </c>
      <c r="C3" s="676"/>
      <c r="D3" s="676"/>
      <c r="E3" s="676"/>
      <c r="F3" s="676" t="s">
        <v>435</v>
      </c>
      <c r="G3" s="676"/>
      <c r="H3" s="676"/>
      <c r="I3" s="676"/>
      <c r="J3" s="676" t="s">
        <v>434</v>
      </c>
      <c r="K3" s="676"/>
      <c r="L3" s="676"/>
      <c r="M3" s="676" t="s">
        <v>435</v>
      </c>
      <c r="N3" s="676"/>
      <c r="O3" s="676"/>
    </row>
    <row r="4" spans="1:15" s="6" customFormat="1" ht="29.9" customHeight="1" x14ac:dyDescent="0.35">
      <c r="A4" s="157"/>
      <c r="B4" s="28" t="s">
        <v>436</v>
      </c>
      <c r="C4" s="28" t="s">
        <v>437</v>
      </c>
      <c r="D4" s="28" t="s">
        <v>438</v>
      </c>
      <c r="E4" s="28" t="s">
        <v>129</v>
      </c>
      <c r="F4" s="28" t="s">
        <v>436</v>
      </c>
      <c r="G4" s="28" t="s">
        <v>437</v>
      </c>
      <c r="H4" s="28" t="s">
        <v>438</v>
      </c>
      <c r="I4" s="28" t="s">
        <v>129</v>
      </c>
      <c r="J4" s="28" t="s">
        <v>160</v>
      </c>
      <c r="K4" s="28" t="s">
        <v>159</v>
      </c>
      <c r="L4" s="28" t="s">
        <v>161</v>
      </c>
      <c r="M4" s="28" t="s">
        <v>160</v>
      </c>
      <c r="N4" s="28" t="s">
        <v>159</v>
      </c>
      <c r="O4" s="28" t="s">
        <v>161</v>
      </c>
    </row>
    <row r="5" spans="1:15" x14ac:dyDescent="0.35">
      <c r="A5" t="s">
        <v>71</v>
      </c>
      <c r="B5" s="76">
        <f>J5*365</f>
        <v>0</v>
      </c>
      <c r="C5" s="76">
        <f>K5*365</f>
        <v>315258165</v>
      </c>
      <c r="D5" s="76">
        <f>L5*365</f>
        <v>315258165</v>
      </c>
      <c r="E5" s="154">
        <f>C5/D5</f>
        <v>1</v>
      </c>
      <c r="F5" s="76">
        <f t="shared" ref="F5:F21" si="0">M5*365</f>
        <v>4651560</v>
      </c>
      <c r="G5" s="76">
        <f t="shared" ref="G5:H20" si="1">N5*365</f>
        <v>511707005</v>
      </c>
      <c r="H5" s="76">
        <f t="shared" si="1"/>
        <v>516358565</v>
      </c>
      <c r="I5" s="154">
        <f>G5/H5</f>
        <v>0.99099160870895986</v>
      </c>
      <c r="J5" s="274"/>
      <c r="K5" s="275">
        <v>863721</v>
      </c>
      <c r="L5" s="97">
        <f>+SUM(J5:K5)</f>
        <v>863721</v>
      </c>
      <c r="M5" s="275">
        <v>12744</v>
      </c>
      <c r="N5" s="275">
        <v>1401937</v>
      </c>
      <c r="O5" s="97">
        <f>+SUM(M5:N5)</f>
        <v>1414681</v>
      </c>
    </row>
    <row r="6" spans="1:15" x14ac:dyDescent="0.35">
      <c r="A6" t="s">
        <v>72</v>
      </c>
      <c r="B6" s="76">
        <f t="shared" ref="B6:D32" si="2">J6*365</f>
        <v>1840695</v>
      </c>
      <c r="C6" s="76">
        <f t="shared" si="2"/>
        <v>943460030</v>
      </c>
      <c r="D6" s="76">
        <f t="shared" si="2"/>
        <v>945300725</v>
      </c>
      <c r="E6" s="154">
        <f t="shared" ref="E6:E32" si="3">C6/D6</f>
        <v>0.99805279425761573</v>
      </c>
      <c r="F6" s="76">
        <f t="shared" si="0"/>
        <v>76301790</v>
      </c>
      <c r="G6" s="76">
        <f t="shared" si="1"/>
        <v>603500855</v>
      </c>
      <c r="H6" s="76">
        <f t="shared" si="1"/>
        <v>679802645</v>
      </c>
      <c r="I6" s="154">
        <f t="shared" ref="I6:I32" si="4">G6/H6</f>
        <v>0.88775890979359162</v>
      </c>
      <c r="J6" s="275">
        <v>5043</v>
      </c>
      <c r="K6" s="275">
        <v>2584822</v>
      </c>
      <c r="L6" s="97">
        <f t="shared" ref="L6:L30" si="5">+SUM(J6:K6)</f>
        <v>2589865</v>
      </c>
      <c r="M6" s="275">
        <v>209046</v>
      </c>
      <c r="N6" s="275">
        <v>1653427</v>
      </c>
      <c r="O6" s="97">
        <f t="shared" ref="O6:O31" si="6">+SUM(M6:N6)</f>
        <v>1862473</v>
      </c>
    </row>
    <row r="7" spans="1:15" x14ac:dyDescent="0.35">
      <c r="A7" t="s">
        <v>73</v>
      </c>
      <c r="B7" s="76">
        <f t="shared" si="2"/>
        <v>1710687110</v>
      </c>
      <c r="C7" s="76">
        <f t="shared" si="2"/>
        <v>5861912410</v>
      </c>
      <c r="D7" s="76">
        <f t="shared" si="2"/>
        <v>7572599520</v>
      </c>
      <c r="E7" s="154">
        <f t="shared" si="3"/>
        <v>0.77409513001685848</v>
      </c>
      <c r="F7" s="76">
        <f t="shared" si="0"/>
        <v>3585094605</v>
      </c>
      <c r="G7" s="76">
        <f t="shared" si="1"/>
        <v>10991320555</v>
      </c>
      <c r="H7" s="76">
        <f t="shared" si="1"/>
        <v>14576415160</v>
      </c>
      <c r="I7" s="154">
        <f t="shared" si="4"/>
        <v>0.75404826456658081</v>
      </c>
      <c r="J7" s="275">
        <v>4686814</v>
      </c>
      <c r="K7" s="275">
        <v>16060034</v>
      </c>
      <c r="L7" s="97">
        <f t="shared" si="5"/>
        <v>20746848</v>
      </c>
      <c r="M7" s="275">
        <v>9822177</v>
      </c>
      <c r="N7" s="275">
        <v>30113207</v>
      </c>
      <c r="O7" s="97">
        <f t="shared" si="6"/>
        <v>39935384</v>
      </c>
    </row>
    <row r="8" spans="1:15" x14ac:dyDescent="0.35">
      <c r="A8" t="s">
        <v>74</v>
      </c>
      <c r="B8" s="76">
        <f t="shared" si="2"/>
        <v>0</v>
      </c>
      <c r="C8" s="76">
        <f t="shared" si="2"/>
        <v>1674906160</v>
      </c>
      <c r="D8" s="76">
        <f t="shared" si="2"/>
        <v>1674906160</v>
      </c>
      <c r="E8" s="154">
        <f t="shared" si="3"/>
        <v>1</v>
      </c>
      <c r="F8" s="76">
        <f t="shared" si="0"/>
        <v>257312590</v>
      </c>
      <c r="G8" s="76">
        <f t="shared" si="1"/>
        <v>2295993445</v>
      </c>
      <c r="H8" s="76">
        <f t="shared" si="1"/>
        <v>2553306035</v>
      </c>
      <c r="I8" s="154">
        <f t="shared" si="4"/>
        <v>0.8992237567793161</v>
      </c>
      <c r="J8" s="274"/>
      <c r="K8" s="275">
        <v>4588784</v>
      </c>
      <c r="L8" s="97">
        <f t="shared" si="5"/>
        <v>4588784</v>
      </c>
      <c r="M8" s="275">
        <v>704966</v>
      </c>
      <c r="N8" s="275">
        <v>6290393</v>
      </c>
      <c r="O8" s="97">
        <f t="shared" si="6"/>
        <v>6995359</v>
      </c>
    </row>
    <row r="9" spans="1:15" x14ac:dyDescent="0.35">
      <c r="A9" t="s">
        <v>75</v>
      </c>
      <c r="B9" s="76">
        <f t="shared" si="2"/>
        <v>8581515</v>
      </c>
      <c r="C9" s="76">
        <f t="shared" si="2"/>
        <v>585461460</v>
      </c>
      <c r="D9" s="76">
        <f t="shared" si="2"/>
        <v>594042975</v>
      </c>
      <c r="E9" s="154">
        <f t="shared" si="3"/>
        <v>0.98555405019308573</v>
      </c>
      <c r="F9" s="76">
        <f t="shared" si="0"/>
        <v>210069545</v>
      </c>
      <c r="G9" s="76">
        <f t="shared" si="1"/>
        <v>664103995</v>
      </c>
      <c r="H9" s="76">
        <f t="shared" si="1"/>
        <v>874173540</v>
      </c>
      <c r="I9" s="154">
        <f t="shared" si="4"/>
        <v>0.75969354437335179</v>
      </c>
      <c r="J9" s="275">
        <v>23511</v>
      </c>
      <c r="K9" s="275">
        <v>1604004</v>
      </c>
      <c r="L9" s="97">
        <f t="shared" si="5"/>
        <v>1627515</v>
      </c>
      <c r="M9" s="275">
        <v>575533</v>
      </c>
      <c r="N9" s="275">
        <v>1819463</v>
      </c>
      <c r="O9" s="97">
        <f t="shared" si="6"/>
        <v>2394996</v>
      </c>
    </row>
    <row r="10" spans="1:15" x14ac:dyDescent="0.35">
      <c r="A10" t="s">
        <v>76</v>
      </c>
      <c r="B10" s="76">
        <f t="shared" si="2"/>
        <v>0</v>
      </c>
      <c r="C10" s="76">
        <f t="shared" si="2"/>
        <v>0</v>
      </c>
      <c r="D10" s="76"/>
      <c r="E10" s="154"/>
      <c r="F10" s="76">
        <f t="shared" si="0"/>
        <v>35237100</v>
      </c>
      <c r="G10" s="76">
        <f t="shared" si="1"/>
        <v>1060320985</v>
      </c>
      <c r="H10" s="76">
        <f t="shared" si="1"/>
        <v>1095558085</v>
      </c>
      <c r="I10" s="154">
        <f t="shared" si="4"/>
        <v>0.96783639271851118</v>
      </c>
      <c r="J10" s="274"/>
      <c r="K10" s="274"/>
      <c r="L10" s="97"/>
      <c r="M10" s="275">
        <v>96540</v>
      </c>
      <c r="N10" s="275">
        <v>2904989</v>
      </c>
      <c r="O10" s="97">
        <f t="shared" si="6"/>
        <v>3001529</v>
      </c>
    </row>
    <row r="11" spans="1:15" x14ac:dyDescent="0.35">
      <c r="A11" t="s">
        <v>77</v>
      </c>
      <c r="B11" s="76">
        <f t="shared" si="2"/>
        <v>0</v>
      </c>
      <c r="C11" s="76">
        <f t="shared" si="2"/>
        <v>806832865</v>
      </c>
      <c r="D11" s="76">
        <f t="shared" si="2"/>
        <v>806832865</v>
      </c>
      <c r="E11" s="154">
        <f t="shared" si="3"/>
        <v>1</v>
      </c>
      <c r="F11" s="76">
        <f t="shared" si="0"/>
        <v>57138195</v>
      </c>
      <c r="G11" s="76">
        <f t="shared" si="1"/>
        <v>1862171600</v>
      </c>
      <c r="H11" s="76">
        <f t="shared" si="1"/>
        <v>1919309795</v>
      </c>
      <c r="I11" s="154">
        <f t="shared" si="4"/>
        <v>0.97022982160105109</v>
      </c>
      <c r="J11" s="274"/>
      <c r="K11" s="275">
        <v>2210501</v>
      </c>
      <c r="L11" s="97">
        <f t="shared" si="5"/>
        <v>2210501</v>
      </c>
      <c r="M11" s="275">
        <v>156543</v>
      </c>
      <c r="N11" s="275">
        <v>5101840</v>
      </c>
      <c r="O11" s="97">
        <f t="shared" si="6"/>
        <v>5258383</v>
      </c>
    </row>
    <row r="12" spans="1:15" x14ac:dyDescent="0.35">
      <c r="A12" t="s">
        <v>78</v>
      </c>
      <c r="B12" s="76">
        <f t="shared" si="2"/>
        <v>6656657570</v>
      </c>
      <c r="C12" s="76">
        <f t="shared" si="2"/>
        <v>25603571415</v>
      </c>
      <c r="D12" s="76">
        <f t="shared" si="2"/>
        <v>32260228985</v>
      </c>
      <c r="E12" s="154">
        <f t="shared" si="3"/>
        <v>0.79365746061210107</v>
      </c>
      <c r="F12" s="76">
        <f t="shared" si="0"/>
        <v>11851839080</v>
      </c>
      <c r="G12" s="76">
        <f t="shared" si="1"/>
        <v>33871503600</v>
      </c>
      <c r="H12" s="76">
        <f t="shared" si="1"/>
        <v>45723342680</v>
      </c>
      <c r="I12" s="154">
        <f t="shared" si="4"/>
        <v>0.74079237463134662</v>
      </c>
      <c r="J12" s="275">
        <v>18237418</v>
      </c>
      <c r="K12" s="275">
        <v>70146771</v>
      </c>
      <c r="L12" s="97">
        <f t="shared" si="5"/>
        <v>88384189</v>
      </c>
      <c r="M12" s="275">
        <v>32470792</v>
      </c>
      <c r="N12" s="275">
        <v>92798640</v>
      </c>
      <c r="O12" s="97">
        <f t="shared" si="6"/>
        <v>125269432</v>
      </c>
    </row>
    <row r="13" spans="1:15" x14ac:dyDescent="0.35">
      <c r="A13" t="s">
        <v>79</v>
      </c>
      <c r="B13" s="76">
        <f t="shared" si="2"/>
        <v>318817280</v>
      </c>
      <c r="C13" s="76">
        <f t="shared" si="2"/>
        <v>2639365005</v>
      </c>
      <c r="D13" s="76">
        <f t="shared" si="2"/>
        <v>2958182285</v>
      </c>
      <c r="E13" s="154">
        <f t="shared" si="3"/>
        <v>0.89222527576592525</v>
      </c>
      <c r="F13" s="76">
        <f t="shared" si="0"/>
        <v>813895980</v>
      </c>
      <c r="G13" s="76">
        <f t="shared" si="1"/>
        <v>3342377635</v>
      </c>
      <c r="H13" s="76">
        <f t="shared" si="1"/>
        <v>4156273615</v>
      </c>
      <c r="I13" s="154">
        <f t="shared" si="4"/>
        <v>0.80417651593902584</v>
      </c>
      <c r="J13" s="275">
        <v>873472</v>
      </c>
      <c r="K13" s="275">
        <v>7231137</v>
      </c>
      <c r="L13" s="97">
        <f t="shared" si="5"/>
        <v>8104609</v>
      </c>
      <c r="M13" s="275">
        <v>2229852</v>
      </c>
      <c r="N13" s="275">
        <v>9157199</v>
      </c>
      <c r="O13" s="97">
        <f t="shared" si="6"/>
        <v>11387051</v>
      </c>
    </row>
    <row r="14" spans="1:15" x14ac:dyDescent="0.35">
      <c r="A14" t="s">
        <v>80</v>
      </c>
      <c r="B14" s="76">
        <f t="shared" si="2"/>
        <v>474135</v>
      </c>
      <c r="C14" s="76">
        <f t="shared" si="2"/>
        <v>885750975</v>
      </c>
      <c r="D14" s="76">
        <f t="shared" si="2"/>
        <v>886225110</v>
      </c>
      <c r="E14" s="154">
        <f t="shared" si="3"/>
        <v>0.99946499484764095</v>
      </c>
      <c r="F14" s="76">
        <f t="shared" si="0"/>
        <v>35355725</v>
      </c>
      <c r="G14" s="76">
        <f t="shared" si="1"/>
        <v>328313850</v>
      </c>
      <c r="H14" s="76">
        <f t="shared" si="1"/>
        <v>363669575</v>
      </c>
      <c r="I14" s="154">
        <f t="shared" si="4"/>
        <v>0.90278063541609166</v>
      </c>
      <c r="J14" s="275">
        <v>1299</v>
      </c>
      <c r="K14" s="275">
        <v>2426715</v>
      </c>
      <c r="L14" s="97">
        <f t="shared" si="5"/>
        <v>2428014</v>
      </c>
      <c r="M14" s="275">
        <v>96865</v>
      </c>
      <c r="N14" s="275">
        <v>899490</v>
      </c>
      <c r="O14" s="97">
        <f t="shared" si="6"/>
        <v>996355</v>
      </c>
    </row>
    <row r="15" spans="1:15" x14ac:dyDescent="0.35">
      <c r="A15" t="s">
        <v>81</v>
      </c>
      <c r="B15" s="76">
        <f t="shared" si="2"/>
        <v>211334270</v>
      </c>
      <c r="C15" s="76">
        <f t="shared" si="2"/>
        <v>1809087460</v>
      </c>
      <c r="D15" s="76">
        <f t="shared" si="2"/>
        <v>2020421730</v>
      </c>
      <c r="E15" s="154">
        <f t="shared" si="3"/>
        <v>0.89540091216500628</v>
      </c>
      <c r="F15" s="76">
        <f t="shared" si="0"/>
        <v>380377085</v>
      </c>
      <c r="G15" s="76">
        <f t="shared" si="1"/>
        <v>2030914385</v>
      </c>
      <c r="H15" s="76">
        <f t="shared" si="1"/>
        <v>2411291470</v>
      </c>
      <c r="I15" s="154">
        <f t="shared" si="4"/>
        <v>0.84225171874389781</v>
      </c>
      <c r="J15" s="275">
        <v>578998</v>
      </c>
      <c r="K15" s="275">
        <v>4956404</v>
      </c>
      <c r="L15" s="97">
        <f t="shared" si="5"/>
        <v>5535402</v>
      </c>
      <c r="M15" s="275">
        <v>1042129</v>
      </c>
      <c r="N15" s="275">
        <v>5564149</v>
      </c>
      <c r="O15" s="97">
        <f t="shared" si="6"/>
        <v>6606278</v>
      </c>
    </row>
    <row r="16" spans="1:15" x14ac:dyDescent="0.35">
      <c r="A16" t="s">
        <v>82</v>
      </c>
      <c r="B16" s="76">
        <f t="shared" si="2"/>
        <v>12706659225</v>
      </c>
      <c r="C16" s="76">
        <f t="shared" si="2"/>
        <v>23621988605</v>
      </c>
      <c r="D16" s="76">
        <f t="shared" si="2"/>
        <v>36328647830</v>
      </c>
      <c r="E16" s="154">
        <f t="shared" si="3"/>
        <v>0.65023032829460525</v>
      </c>
      <c r="F16" s="76">
        <f t="shared" si="0"/>
        <v>7622684455</v>
      </c>
      <c r="G16" s="76">
        <f t="shared" si="1"/>
        <v>22965677725</v>
      </c>
      <c r="H16" s="76">
        <f t="shared" si="1"/>
        <v>30588362180</v>
      </c>
      <c r="I16" s="154">
        <f t="shared" si="4"/>
        <v>0.7507978880940529</v>
      </c>
      <c r="J16" s="275">
        <v>34812765</v>
      </c>
      <c r="K16" s="275">
        <v>64717777</v>
      </c>
      <c r="L16" s="97">
        <f t="shared" si="5"/>
        <v>99530542</v>
      </c>
      <c r="M16" s="275">
        <v>20884067</v>
      </c>
      <c r="N16" s="275">
        <v>62919665</v>
      </c>
      <c r="O16" s="97">
        <f t="shared" si="6"/>
        <v>83803732</v>
      </c>
    </row>
    <row r="17" spans="1:17" x14ac:dyDescent="0.35">
      <c r="A17" t="s">
        <v>83</v>
      </c>
      <c r="B17" s="76">
        <f t="shared" si="2"/>
        <v>0</v>
      </c>
      <c r="C17" s="76">
        <f t="shared" si="2"/>
        <v>1581024875</v>
      </c>
      <c r="D17" s="76">
        <f t="shared" si="2"/>
        <v>1581024875</v>
      </c>
      <c r="E17" s="154">
        <f t="shared" si="3"/>
        <v>1</v>
      </c>
      <c r="F17" s="76">
        <f t="shared" si="0"/>
        <v>24732765</v>
      </c>
      <c r="G17" s="76">
        <f t="shared" si="1"/>
        <v>1467379205</v>
      </c>
      <c r="H17" s="76">
        <f t="shared" si="1"/>
        <v>1492111970</v>
      </c>
      <c r="I17" s="154">
        <f t="shared" si="4"/>
        <v>0.98342432371211386</v>
      </c>
      <c r="J17" s="274"/>
      <c r="K17" s="275">
        <v>4331575</v>
      </c>
      <c r="L17" s="97">
        <f t="shared" si="5"/>
        <v>4331575</v>
      </c>
      <c r="M17" s="275">
        <v>67761</v>
      </c>
      <c r="N17" s="275">
        <v>4020217</v>
      </c>
      <c r="O17" s="97">
        <f t="shared" si="6"/>
        <v>4087978</v>
      </c>
    </row>
    <row r="18" spans="1:17" x14ac:dyDescent="0.35">
      <c r="A18" t="s">
        <v>84</v>
      </c>
      <c r="B18" s="76">
        <f t="shared" si="2"/>
        <v>25462035</v>
      </c>
      <c r="C18" s="76">
        <f t="shared" si="2"/>
        <v>397352870</v>
      </c>
      <c r="D18" s="76">
        <f t="shared" si="2"/>
        <v>422814905</v>
      </c>
      <c r="E18" s="154">
        <f t="shared" si="3"/>
        <v>0.939779712827295</v>
      </c>
      <c r="F18" s="76">
        <f t="shared" si="0"/>
        <v>65885785</v>
      </c>
      <c r="G18" s="76">
        <f t="shared" si="1"/>
        <v>663798855</v>
      </c>
      <c r="H18" s="76">
        <f t="shared" si="1"/>
        <v>729684640</v>
      </c>
      <c r="I18" s="154">
        <f t="shared" si="4"/>
        <v>0.90970649320506458</v>
      </c>
      <c r="J18" s="275">
        <v>69759</v>
      </c>
      <c r="K18" s="275">
        <v>1088638</v>
      </c>
      <c r="L18" s="97">
        <f t="shared" si="5"/>
        <v>1158397</v>
      </c>
      <c r="M18" s="275">
        <v>180509</v>
      </c>
      <c r="N18" s="275">
        <v>1818627</v>
      </c>
      <c r="O18" s="97">
        <f t="shared" si="6"/>
        <v>1999136</v>
      </c>
    </row>
    <row r="19" spans="1:17" x14ac:dyDescent="0.35">
      <c r="A19" t="s">
        <v>85</v>
      </c>
      <c r="B19" s="76">
        <f t="shared" si="2"/>
        <v>0</v>
      </c>
      <c r="C19" s="76">
        <f t="shared" si="2"/>
        <v>330109650</v>
      </c>
      <c r="D19" s="76">
        <f t="shared" si="2"/>
        <v>330109650</v>
      </c>
      <c r="E19" s="154">
        <f t="shared" si="3"/>
        <v>1</v>
      </c>
      <c r="F19" s="76">
        <f t="shared" si="0"/>
        <v>22408080</v>
      </c>
      <c r="G19" s="76">
        <f t="shared" si="1"/>
        <v>599807055</v>
      </c>
      <c r="H19" s="76">
        <f t="shared" si="1"/>
        <v>622215135</v>
      </c>
      <c r="I19" s="154">
        <f t="shared" si="4"/>
        <v>0.96398660408670389</v>
      </c>
      <c r="J19" s="274"/>
      <c r="K19" s="275">
        <v>904410</v>
      </c>
      <c r="L19" s="97">
        <f t="shared" si="5"/>
        <v>904410</v>
      </c>
      <c r="M19" s="275">
        <v>61392</v>
      </c>
      <c r="N19" s="275">
        <v>1643307</v>
      </c>
      <c r="O19" s="97">
        <f t="shared" si="6"/>
        <v>1704699</v>
      </c>
    </row>
    <row r="20" spans="1:17" x14ac:dyDescent="0.35">
      <c r="A20" t="s">
        <v>86</v>
      </c>
      <c r="B20" s="76">
        <f t="shared" si="2"/>
        <v>0</v>
      </c>
      <c r="C20" s="76">
        <f t="shared" si="2"/>
        <v>311563270</v>
      </c>
      <c r="D20" s="76">
        <f t="shared" si="2"/>
        <v>311563270</v>
      </c>
      <c r="E20" s="154">
        <f t="shared" si="3"/>
        <v>1</v>
      </c>
      <c r="F20" s="76">
        <f t="shared" si="0"/>
        <v>52520945</v>
      </c>
      <c r="G20" s="76">
        <f t="shared" si="1"/>
        <v>951848825</v>
      </c>
      <c r="H20" s="76">
        <f t="shared" si="1"/>
        <v>1004369770</v>
      </c>
      <c r="I20" s="154">
        <f t="shared" si="4"/>
        <v>0.94770756093146846</v>
      </c>
      <c r="J20" s="274"/>
      <c r="K20" s="275">
        <v>853598</v>
      </c>
      <c r="L20" s="97">
        <f t="shared" si="5"/>
        <v>853598</v>
      </c>
      <c r="M20" s="275">
        <v>143893</v>
      </c>
      <c r="N20" s="275">
        <v>2607805</v>
      </c>
      <c r="O20" s="97">
        <f t="shared" si="6"/>
        <v>2751698</v>
      </c>
    </row>
    <row r="21" spans="1:17" x14ac:dyDescent="0.35">
      <c r="A21" t="s">
        <v>87</v>
      </c>
      <c r="B21" s="76">
        <f t="shared" si="2"/>
        <v>0</v>
      </c>
      <c r="C21" s="76">
        <f t="shared" si="2"/>
        <v>969150920</v>
      </c>
      <c r="D21" s="76">
        <f t="shared" si="2"/>
        <v>969150920</v>
      </c>
      <c r="E21" s="154">
        <f t="shared" si="3"/>
        <v>1</v>
      </c>
      <c r="F21" s="76">
        <f t="shared" si="0"/>
        <v>43187165</v>
      </c>
      <c r="G21" s="76">
        <f>N21*365</f>
        <v>1601799580</v>
      </c>
      <c r="H21" s="76">
        <f>O21*365</f>
        <v>1644986745</v>
      </c>
      <c r="I21" s="154">
        <f t="shared" si="4"/>
        <v>0.97374619270868346</v>
      </c>
      <c r="J21" s="274"/>
      <c r="K21" s="275">
        <v>2655208</v>
      </c>
      <c r="L21" s="97">
        <f t="shared" si="5"/>
        <v>2655208</v>
      </c>
      <c r="M21" s="275">
        <v>118321</v>
      </c>
      <c r="N21" s="275">
        <v>4388492</v>
      </c>
      <c r="O21" s="97">
        <f t="shared" si="6"/>
        <v>4506813</v>
      </c>
    </row>
    <row r="22" spans="1:17" x14ac:dyDescent="0.35">
      <c r="A22" t="s">
        <v>88</v>
      </c>
      <c r="B22" s="76">
        <f t="shared" si="2"/>
        <v>0</v>
      </c>
      <c r="C22" s="76">
        <f t="shared" si="2"/>
        <v>0</v>
      </c>
      <c r="D22" s="76"/>
      <c r="E22" s="154"/>
      <c r="F22" s="76">
        <f t="shared" ref="F22:H31" si="7">M22*365</f>
        <v>1538110</v>
      </c>
      <c r="G22" s="76">
        <f t="shared" si="7"/>
        <v>487015850</v>
      </c>
      <c r="H22" s="76">
        <f t="shared" si="7"/>
        <v>488553960</v>
      </c>
      <c r="I22" s="154">
        <f t="shared" si="4"/>
        <v>0.99685170907221798</v>
      </c>
      <c r="J22" s="274"/>
      <c r="K22" s="274"/>
      <c r="L22" s="97"/>
      <c r="M22" s="275">
        <v>4214</v>
      </c>
      <c r="N22" s="275">
        <v>1334290</v>
      </c>
      <c r="O22" s="97">
        <f t="shared" si="6"/>
        <v>1338504</v>
      </c>
    </row>
    <row r="23" spans="1:17" x14ac:dyDescent="0.35">
      <c r="A23" t="s">
        <v>233</v>
      </c>
      <c r="B23" s="76">
        <f t="shared" si="2"/>
        <v>2504884770</v>
      </c>
      <c r="C23" s="76">
        <f t="shared" si="2"/>
        <v>11654568990</v>
      </c>
      <c r="D23" s="76">
        <f t="shared" si="2"/>
        <v>14159453760</v>
      </c>
      <c r="E23" s="154">
        <f t="shared" si="3"/>
        <v>0.82309453369760499</v>
      </c>
      <c r="F23" s="76">
        <f t="shared" si="7"/>
        <v>2127444840</v>
      </c>
      <c r="G23" s="76">
        <f t="shared" si="7"/>
        <v>6762072855</v>
      </c>
      <c r="H23" s="76">
        <f t="shared" si="7"/>
        <v>8889517695</v>
      </c>
      <c r="I23" s="154">
        <f t="shared" si="4"/>
        <v>0.76067938520482359</v>
      </c>
      <c r="J23" s="275">
        <v>6862698</v>
      </c>
      <c r="K23" s="275">
        <v>31930326</v>
      </c>
      <c r="L23" s="97">
        <f t="shared" si="5"/>
        <v>38793024</v>
      </c>
      <c r="M23" s="275">
        <v>5828616</v>
      </c>
      <c r="N23" s="275">
        <v>18526227</v>
      </c>
      <c r="O23" s="97">
        <f t="shared" si="6"/>
        <v>24354843</v>
      </c>
    </row>
    <row r="24" spans="1:17" x14ac:dyDescent="0.35">
      <c r="A24" t="s">
        <v>90</v>
      </c>
      <c r="B24" s="76">
        <f t="shared" si="2"/>
        <v>0</v>
      </c>
      <c r="C24" s="76">
        <f t="shared" si="2"/>
        <v>0</v>
      </c>
      <c r="D24" s="76"/>
      <c r="E24" s="154"/>
      <c r="F24" s="76">
        <f t="shared" si="7"/>
        <v>1517670</v>
      </c>
      <c r="G24" s="76">
        <f t="shared" si="7"/>
        <v>1134370360</v>
      </c>
      <c r="H24" s="76">
        <f t="shared" si="7"/>
        <v>1135888030</v>
      </c>
      <c r="I24" s="154">
        <f t="shared" si="4"/>
        <v>0.99866389119357124</v>
      </c>
      <c r="J24" s="274"/>
      <c r="K24" s="274"/>
      <c r="L24" s="97"/>
      <c r="M24" s="275">
        <v>4158</v>
      </c>
      <c r="N24" s="275">
        <v>3107864</v>
      </c>
      <c r="O24" s="97">
        <f t="shared" si="6"/>
        <v>3112022</v>
      </c>
    </row>
    <row r="25" spans="1:17" x14ac:dyDescent="0.35">
      <c r="A25" t="s">
        <v>91</v>
      </c>
      <c r="B25" s="76">
        <f t="shared" si="2"/>
        <v>0</v>
      </c>
      <c r="C25" s="76">
        <f t="shared" si="2"/>
        <v>287820385</v>
      </c>
      <c r="D25" s="76">
        <f t="shared" si="2"/>
        <v>287820385</v>
      </c>
      <c r="E25" s="154">
        <f t="shared" si="3"/>
        <v>1</v>
      </c>
      <c r="F25" s="76">
        <f t="shared" si="7"/>
        <v>5391780</v>
      </c>
      <c r="G25" s="76">
        <f t="shared" si="7"/>
        <v>157415375</v>
      </c>
      <c r="H25" s="76">
        <f t="shared" si="7"/>
        <v>162807155</v>
      </c>
      <c r="I25" s="154">
        <f t="shared" si="4"/>
        <v>0.96688241373666906</v>
      </c>
      <c r="J25" s="274"/>
      <c r="K25" s="275">
        <v>788549</v>
      </c>
      <c r="L25" s="97">
        <f t="shared" si="5"/>
        <v>788549</v>
      </c>
      <c r="M25" s="275">
        <v>14772</v>
      </c>
      <c r="N25" s="275">
        <v>431275</v>
      </c>
      <c r="O25" s="97">
        <f t="shared" si="6"/>
        <v>446047</v>
      </c>
    </row>
    <row r="26" spans="1:17" x14ac:dyDescent="0.35">
      <c r="A26" t="s">
        <v>92</v>
      </c>
      <c r="B26" s="76">
        <f t="shared" si="2"/>
        <v>0</v>
      </c>
      <c r="C26" s="76">
        <f t="shared" si="2"/>
        <v>625164700</v>
      </c>
      <c r="D26" s="76">
        <f t="shared" si="2"/>
        <v>625164700</v>
      </c>
      <c r="E26" s="154">
        <f t="shared" si="3"/>
        <v>1</v>
      </c>
      <c r="F26" s="76">
        <f t="shared" si="7"/>
        <v>42843335</v>
      </c>
      <c r="G26" s="76">
        <f t="shared" si="7"/>
        <v>1264746535</v>
      </c>
      <c r="H26" s="76">
        <f t="shared" si="7"/>
        <v>1307589870</v>
      </c>
      <c r="I26" s="154">
        <f t="shared" si="4"/>
        <v>0.96723488306008365</v>
      </c>
      <c r="J26" s="274"/>
      <c r="K26" s="275">
        <v>1712780</v>
      </c>
      <c r="L26" s="97">
        <f t="shared" si="5"/>
        <v>1712780</v>
      </c>
      <c r="M26" s="275">
        <v>117379</v>
      </c>
      <c r="N26" s="275">
        <v>3465059</v>
      </c>
      <c r="O26" s="97">
        <f t="shared" si="6"/>
        <v>3582438</v>
      </c>
    </row>
    <row r="27" spans="1:17" x14ac:dyDescent="0.35">
      <c r="A27" t="s">
        <v>93</v>
      </c>
      <c r="B27" s="76">
        <f t="shared" si="2"/>
        <v>0</v>
      </c>
      <c r="C27" s="76">
        <f t="shared" si="2"/>
        <v>0</v>
      </c>
      <c r="D27" s="76"/>
      <c r="E27" s="154"/>
      <c r="F27" s="76">
        <f t="shared" si="7"/>
        <v>10266355</v>
      </c>
      <c r="G27" s="76">
        <f t="shared" si="7"/>
        <v>1126344010</v>
      </c>
      <c r="H27" s="76">
        <f t="shared" si="7"/>
        <v>1136610365</v>
      </c>
      <c r="I27" s="154">
        <f t="shared" si="4"/>
        <v>0.99096756873231573</v>
      </c>
      <c r="J27" s="274"/>
      <c r="K27" s="274"/>
      <c r="L27" s="97"/>
      <c r="M27" s="275">
        <v>28127</v>
      </c>
      <c r="N27" s="275">
        <v>3085874</v>
      </c>
      <c r="O27" s="97">
        <f t="shared" si="6"/>
        <v>3114001</v>
      </c>
    </row>
    <row r="28" spans="1:17" x14ac:dyDescent="0.35">
      <c r="A28" t="s">
        <v>94</v>
      </c>
      <c r="B28" s="76">
        <f t="shared" si="2"/>
        <v>0</v>
      </c>
      <c r="C28" s="76">
        <f t="shared" si="2"/>
        <v>1865178835</v>
      </c>
      <c r="D28" s="76">
        <f t="shared" si="2"/>
        <v>1865178835</v>
      </c>
      <c r="E28" s="154">
        <f t="shared" si="3"/>
        <v>1</v>
      </c>
      <c r="F28" s="76">
        <f t="shared" si="7"/>
        <v>30104835</v>
      </c>
      <c r="G28" s="76">
        <f t="shared" si="7"/>
        <v>894054725</v>
      </c>
      <c r="H28" s="76">
        <f t="shared" si="7"/>
        <v>924159560</v>
      </c>
      <c r="I28" s="154">
        <f t="shared" si="4"/>
        <v>0.96742463498402809</v>
      </c>
      <c r="J28" s="274"/>
      <c r="K28" s="275">
        <v>5110079</v>
      </c>
      <c r="L28" s="97">
        <f t="shared" si="5"/>
        <v>5110079</v>
      </c>
      <c r="M28" s="275">
        <v>82479</v>
      </c>
      <c r="N28" s="275">
        <v>2449465</v>
      </c>
      <c r="O28" s="97">
        <f t="shared" si="6"/>
        <v>2531944</v>
      </c>
    </row>
    <row r="29" spans="1:17" x14ac:dyDescent="0.35">
      <c r="A29" t="s">
        <v>95</v>
      </c>
      <c r="B29" s="76">
        <f t="shared" si="2"/>
        <v>0</v>
      </c>
      <c r="C29" s="76">
        <f t="shared" si="2"/>
        <v>241050015</v>
      </c>
      <c r="D29" s="76">
        <f t="shared" si="2"/>
        <v>241050015</v>
      </c>
      <c r="E29" s="154">
        <f t="shared" si="3"/>
        <v>1</v>
      </c>
      <c r="F29" s="76">
        <f t="shared" si="7"/>
        <v>1120185</v>
      </c>
      <c r="G29" s="76">
        <f t="shared" si="7"/>
        <v>476645470</v>
      </c>
      <c r="H29" s="76">
        <f t="shared" si="7"/>
        <v>477765655</v>
      </c>
      <c r="I29" s="154">
        <f t="shared" si="4"/>
        <v>0.99765536725321957</v>
      </c>
      <c r="J29" s="274"/>
      <c r="K29" s="275">
        <v>660411</v>
      </c>
      <c r="L29" s="97">
        <f t="shared" si="5"/>
        <v>660411</v>
      </c>
      <c r="M29" s="275">
        <v>3069</v>
      </c>
      <c r="N29" s="275">
        <v>1305878</v>
      </c>
      <c r="O29" s="97">
        <f t="shared" si="6"/>
        <v>1308947</v>
      </c>
    </row>
    <row r="30" spans="1:17" x14ac:dyDescent="0.35">
      <c r="A30" s="278" t="s">
        <v>96</v>
      </c>
      <c r="B30" s="279">
        <f t="shared" si="2"/>
        <v>220389920</v>
      </c>
      <c r="C30" s="279">
        <f t="shared" si="2"/>
        <v>3280299895</v>
      </c>
      <c r="D30" s="279">
        <f t="shared" si="2"/>
        <v>3500689815</v>
      </c>
      <c r="E30" s="280">
        <f t="shared" si="3"/>
        <v>0.93704385945431157</v>
      </c>
      <c r="F30" s="279">
        <f t="shared" si="7"/>
        <v>625802355</v>
      </c>
      <c r="G30" s="279">
        <f t="shared" si="7"/>
        <v>3023332230</v>
      </c>
      <c r="H30" s="279">
        <f t="shared" si="7"/>
        <v>3649134585</v>
      </c>
      <c r="I30" s="280">
        <f t="shared" si="4"/>
        <v>0.82850663892408893</v>
      </c>
      <c r="J30" s="282">
        <f>J9+J14+J15</f>
        <v>603808</v>
      </c>
      <c r="K30" s="282">
        <f>K9+K14+K15</f>
        <v>8987123</v>
      </c>
      <c r="L30" s="283">
        <f t="shared" si="5"/>
        <v>9590931</v>
      </c>
      <c r="M30" s="282">
        <f>M9+M14+M15</f>
        <v>1714527</v>
      </c>
      <c r="N30" s="282">
        <f>N9+N14+N15</f>
        <v>8283102</v>
      </c>
      <c r="O30" s="283">
        <f t="shared" si="6"/>
        <v>9997629</v>
      </c>
      <c r="P30" s="278"/>
      <c r="Q30" s="278"/>
    </row>
    <row r="31" spans="1:17" x14ac:dyDescent="0.35">
      <c r="A31" t="s">
        <v>99</v>
      </c>
      <c r="B31" s="76">
        <f t="shared" si="2"/>
        <v>3241565</v>
      </c>
      <c r="C31" s="76">
        <f t="shared" si="2"/>
        <v>21104432860</v>
      </c>
      <c r="D31" s="76">
        <f t="shared" si="2"/>
        <v>21107674425</v>
      </c>
      <c r="E31" s="154">
        <f t="shared" si="3"/>
        <v>0.99984642718403116</v>
      </c>
      <c r="F31" s="76">
        <f t="shared" si="7"/>
        <v>343823430</v>
      </c>
      <c r="G31" s="76">
        <f t="shared" si="7"/>
        <v>27471656015</v>
      </c>
      <c r="H31" s="76">
        <f t="shared" si="7"/>
        <v>27815479445</v>
      </c>
      <c r="I31" s="154">
        <f t="shared" si="4"/>
        <v>0.98763913343000798</v>
      </c>
      <c r="J31" s="275">
        <v>8881</v>
      </c>
      <c r="K31" s="275">
        <v>57820364</v>
      </c>
      <c r="L31" s="78">
        <f>+J31++K31</f>
        <v>57829245</v>
      </c>
      <c r="M31" s="275">
        <v>941982</v>
      </c>
      <c r="N31" s="275">
        <v>75264811</v>
      </c>
      <c r="O31" s="97">
        <f t="shared" si="6"/>
        <v>76206793</v>
      </c>
    </row>
    <row r="32" spans="1:17" x14ac:dyDescent="0.35">
      <c r="A32" t="s">
        <v>439</v>
      </c>
      <c r="B32" s="76">
        <f t="shared" si="2"/>
        <v>24148640170</v>
      </c>
      <c r="C32" s="76">
        <f t="shared" si="2"/>
        <v>104115011920</v>
      </c>
      <c r="D32" s="76">
        <f t="shared" si="2"/>
        <v>128263652090</v>
      </c>
      <c r="E32" s="154">
        <f t="shared" si="3"/>
        <v>0.81172655092453327</v>
      </c>
      <c r="F32" s="76">
        <f>M32*365</f>
        <v>27702742990</v>
      </c>
      <c r="G32" s="76">
        <f>N32*365</f>
        <v>125586860350</v>
      </c>
      <c r="H32" s="76">
        <f>O32*365</f>
        <v>153289603340</v>
      </c>
      <c r="I32" s="154">
        <f t="shared" si="4"/>
        <v>0.81927839601388586</v>
      </c>
      <c r="J32" s="97">
        <f t="shared" ref="J32:O32" si="8">SUM(J5:J29,J31)</f>
        <v>66160658</v>
      </c>
      <c r="K32" s="97">
        <f t="shared" si="8"/>
        <v>285246608</v>
      </c>
      <c r="L32" s="97">
        <f t="shared" si="8"/>
        <v>351407266</v>
      </c>
      <c r="M32" s="97">
        <f t="shared" si="8"/>
        <v>75897926</v>
      </c>
      <c r="N32" s="97">
        <f t="shared" si="8"/>
        <v>344073590</v>
      </c>
      <c r="O32" s="97">
        <f t="shared" si="8"/>
        <v>419971516</v>
      </c>
    </row>
    <row r="33" spans="1:15" s="32" customFormat="1" x14ac:dyDescent="0.35">
      <c r="B33" s="40"/>
      <c r="C33" s="40"/>
      <c r="D33" s="40"/>
      <c r="E33" s="30"/>
      <c r="F33" s="40"/>
      <c r="G33" s="40"/>
      <c r="H33" s="29"/>
      <c r="I33" s="30"/>
    </row>
    <row r="34" spans="1:15" s="5" customFormat="1" ht="15" customHeight="1" x14ac:dyDescent="0.35">
      <c r="A34" s="674" t="s">
        <v>128</v>
      </c>
      <c r="B34" s="675" t="s">
        <v>440</v>
      </c>
      <c r="C34" s="675"/>
      <c r="D34" s="675"/>
      <c r="E34" s="28"/>
      <c r="F34" s="46"/>
      <c r="G34" s="6"/>
      <c r="H34" s="6"/>
      <c r="I34" s="159"/>
      <c r="J34" s="46"/>
      <c r="K34" s="51"/>
      <c r="L34" s="51"/>
      <c r="N34" s="51"/>
      <c r="O34" s="51"/>
    </row>
    <row r="35" spans="1:15" s="5" customFormat="1" ht="15" customHeight="1" x14ac:dyDescent="0.35">
      <c r="A35" s="674"/>
      <c r="B35" s="6" t="s">
        <v>194</v>
      </c>
      <c r="C35" s="6" t="s">
        <v>127</v>
      </c>
      <c r="D35" s="6" t="s">
        <v>441</v>
      </c>
      <c r="E35" s="28"/>
      <c r="F35" s="46"/>
      <c r="G35" s="6"/>
      <c r="H35" s="6"/>
      <c r="I35" s="159"/>
      <c r="J35" s="46"/>
      <c r="K35" s="51"/>
      <c r="L35" s="51"/>
      <c r="N35" s="51"/>
      <c r="O35" s="51"/>
    </row>
    <row r="36" spans="1:15" s="3" customFormat="1" ht="14.9" customHeight="1" x14ac:dyDescent="0.35">
      <c r="A36" t="s">
        <v>71</v>
      </c>
      <c r="B36" s="287">
        <v>40.905000000000001</v>
      </c>
      <c r="C36" s="287">
        <v>45.072650000000003</v>
      </c>
      <c r="D36" s="16">
        <f>C36/B36</f>
        <v>1.1018860774966386</v>
      </c>
      <c r="E36" s="99"/>
      <c r="F36" s="99"/>
      <c r="G36" s="13"/>
      <c r="H36" s="22"/>
      <c r="I36" s="13"/>
      <c r="J36" s="4"/>
      <c r="K36" s="25"/>
      <c r="L36" s="14"/>
    </row>
    <row r="37" spans="1:15" x14ac:dyDescent="0.35">
      <c r="A37" t="s">
        <v>72</v>
      </c>
      <c r="B37" s="287">
        <v>81.397000000000006</v>
      </c>
      <c r="C37" s="287">
        <v>96.540710000000033</v>
      </c>
      <c r="D37" s="16">
        <f t="shared" ref="D37:D62" si="9">C37/B37</f>
        <v>1.1860475201788767</v>
      </c>
      <c r="E37" s="99"/>
      <c r="F37" s="99"/>
      <c r="G37" s="13"/>
      <c r="H37" s="22"/>
      <c r="I37" s="13"/>
      <c r="J37" s="4"/>
      <c r="K37" s="26"/>
      <c r="L37" s="73"/>
    </row>
    <row r="38" spans="1:15" x14ac:dyDescent="0.35">
      <c r="A38" t="s">
        <v>73</v>
      </c>
      <c r="B38" s="287">
        <v>189.40199999999996</v>
      </c>
      <c r="C38" s="287">
        <v>336.10387999999989</v>
      </c>
      <c r="D38" s="16">
        <f t="shared" si="9"/>
        <v>1.7745529614259614</v>
      </c>
      <c r="E38" s="99"/>
      <c r="F38" s="99"/>
      <c r="G38" s="13"/>
      <c r="H38" s="22"/>
      <c r="I38" s="13"/>
      <c r="J38" s="4"/>
      <c r="L38" s="72"/>
    </row>
    <row r="39" spans="1:15" x14ac:dyDescent="0.35">
      <c r="A39" t="s">
        <v>74</v>
      </c>
      <c r="B39" s="287">
        <v>99.181999999999988</v>
      </c>
      <c r="C39" s="287">
        <v>125.5351</v>
      </c>
      <c r="D39" s="16">
        <f t="shared" si="9"/>
        <v>1.265704462503277</v>
      </c>
      <c r="E39" s="99"/>
      <c r="F39" s="99"/>
      <c r="G39" s="13"/>
      <c r="H39" s="22"/>
      <c r="I39" s="13"/>
      <c r="J39" s="4"/>
      <c r="L39" s="27"/>
    </row>
    <row r="40" spans="1:15" x14ac:dyDescent="0.35">
      <c r="A40" t="s">
        <v>75</v>
      </c>
      <c r="B40" s="287">
        <v>35.942000000000007</v>
      </c>
      <c r="C40" s="287">
        <v>46.912879999999987</v>
      </c>
      <c r="D40" s="16">
        <f t="shared" si="9"/>
        <v>1.3052384397084185</v>
      </c>
      <c r="E40" s="99"/>
      <c r="F40" s="99"/>
      <c r="G40" s="13"/>
      <c r="H40" s="22"/>
      <c r="I40" s="13"/>
      <c r="J40" s="4"/>
      <c r="L40" s="27"/>
    </row>
    <row r="41" spans="1:15" x14ac:dyDescent="0.35">
      <c r="A41" t="s">
        <v>76</v>
      </c>
      <c r="B41" s="287"/>
      <c r="C41" s="287"/>
      <c r="D41" s="16"/>
      <c r="E41" s="99"/>
      <c r="F41" s="99"/>
      <c r="G41" s="13"/>
      <c r="H41" s="22"/>
      <c r="I41" s="13"/>
      <c r="J41" s="4"/>
      <c r="L41" s="27"/>
    </row>
    <row r="42" spans="1:15" x14ac:dyDescent="0.35">
      <c r="A42" t="s">
        <v>77</v>
      </c>
      <c r="B42" s="287">
        <v>46.103999999999992</v>
      </c>
      <c r="C42" s="287">
        <v>53.551080000000006</v>
      </c>
      <c r="D42" s="16">
        <f t="shared" si="9"/>
        <v>1.1615278500780846</v>
      </c>
      <c r="E42" s="99"/>
      <c r="F42" s="99"/>
      <c r="G42" s="13"/>
      <c r="H42" s="22"/>
      <c r="I42" s="13"/>
      <c r="J42" s="4"/>
      <c r="L42" s="27"/>
    </row>
    <row r="43" spans="1:15" x14ac:dyDescent="0.35">
      <c r="A43" t="s">
        <v>78</v>
      </c>
      <c r="B43" s="287">
        <v>1068.9460000000017</v>
      </c>
      <c r="C43" s="287">
        <v>1852.4264499999981</v>
      </c>
      <c r="D43" s="16">
        <f t="shared" si="9"/>
        <v>1.7329467063817958</v>
      </c>
      <c r="E43" s="99"/>
      <c r="F43" s="99"/>
      <c r="G43" s="13"/>
      <c r="H43" s="22"/>
      <c r="I43" s="13"/>
      <c r="J43" s="4"/>
      <c r="L43" s="27"/>
    </row>
    <row r="44" spans="1:15" x14ac:dyDescent="0.35">
      <c r="A44" t="s">
        <v>79</v>
      </c>
      <c r="B44" s="287">
        <v>126.51599999999999</v>
      </c>
      <c r="C44" s="287">
        <v>195.03558000000015</v>
      </c>
      <c r="D44" s="16">
        <f t="shared" si="9"/>
        <v>1.5415882576116868</v>
      </c>
      <c r="E44" s="99"/>
      <c r="F44" s="99"/>
      <c r="G44" s="13"/>
      <c r="H44" s="22"/>
      <c r="I44" s="13"/>
      <c r="J44" s="4"/>
      <c r="L44" s="27"/>
    </row>
    <row r="45" spans="1:15" x14ac:dyDescent="0.35">
      <c r="A45" t="s">
        <v>80</v>
      </c>
      <c r="B45" s="287">
        <v>69.311999999999983</v>
      </c>
      <c r="C45" s="287">
        <v>82.854090000000014</v>
      </c>
      <c r="D45" s="16">
        <f t="shared" si="9"/>
        <v>1.1953787222991694</v>
      </c>
      <c r="E45" s="99"/>
      <c r="F45" s="99"/>
      <c r="G45" s="13"/>
      <c r="H45" s="22"/>
      <c r="I45" s="13"/>
      <c r="J45" s="4"/>
      <c r="L45" s="27"/>
    </row>
    <row r="46" spans="1:15" x14ac:dyDescent="0.35">
      <c r="A46" t="s">
        <v>81</v>
      </c>
      <c r="B46" s="287">
        <v>108.50600000000001</v>
      </c>
      <c r="C46" s="287">
        <v>164.43838000000008</v>
      </c>
      <c r="D46" s="16">
        <f t="shared" si="9"/>
        <v>1.5154773007944267</v>
      </c>
      <c r="E46" s="99"/>
      <c r="F46" s="99"/>
      <c r="G46" s="13"/>
      <c r="H46" s="22"/>
      <c r="I46" s="13"/>
      <c r="J46" s="4"/>
      <c r="L46" s="27"/>
    </row>
    <row r="47" spans="1:15" x14ac:dyDescent="0.35">
      <c r="A47" t="s">
        <v>82</v>
      </c>
      <c r="B47" s="287">
        <v>753.99399999999866</v>
      </c>
      <c r="C47" s="287">
        <v>1550.2952099999993</v>
      </c>
      <c r="D47" s="16">
        <f t="shared" si="9"/>
        <v>2.056110804595265</v>
      </c>
      <c r="E47" s="99"/>
      <c r="F47" s="99"/>
      <c r="G47" s="13"/>
      <c r="H47" s="22"/>
      <c r="I47" s="13"/>
      <c r="J47" s="4"/>
      <c r="L47" s="27"/>
    </row>
    <row r="48" spans="1:15" x14ac:dyDescent="0.35">
      <c r="A48" t="s">
        <v>83</v>
      </c>
      <c r="B48" s="287">
        <v>74.853999999999985</v>
      </c>
      <c r="C48" s="287">
        <v>108.47534999999999</v>
      </c>
      <c r="D48" s="16">
        <f t="shared" si="9"/>
        <v>1.4491590295775778</v>
      </c>
      <c r="E48" s="99"/>
      <c r="F48" s="99"/>
      <c r="G48" s="13"/>
      <c r="H48" s="22"/>
      <c r="I48" s="13"/>
      <c r="J48" s="4"/>
      <c r="L48" s="27"/>
    </row>
    <row r="49" spans="1:12" x14ac:dyDescent="0.35">
      <c r="A49" t="s">
        <v>84</v>
      </c>
      <c r="B49" s="287">
        <v>39.906000000000006</v>
      </c>
      <c r="C49" s="287">
        <v>54.640720000000009</v>
      </c>
      <c r="D49" s="16">
        <f t="shared" si="9"/>
        <v>1.3692357039041749</v>
      </c>
      <c r="E49" s="99"/>
      <c r="F49" s="99"/>
      <c r="G49" s="13"/>
      <c r="H49" s="22"/>
      <c r="I49" s="13"/>
      <c r="J49" s="4"/>
      <c r="L49" s="27"/>
    </row>
    <row r="50" spans="1:12" x14ac:dyDescent="0.35">
      <c r="A50" t="s">
        <v>85</v>
      </c>
      <c r="B50" s="287">
        <v>33.257000000000005</v>
      </c>
      <c r="C50" s="287">
        <v>35.581069999999997</v>
      </c>
      <c r="D50" s="16">
        <f t="shared" si="9"/>
        <v>1.069882130077878</v>
      </c>
      <c r="E50" s="99"/>
      <c r="F50" s="99"/>
      <c r="G50" s="13"/>
      <c r="H50" s="22"/>
      <c r="I50" s="13"/>
      <c r="J50" s="4"/>
      <c r="L50" s="27"/>
    </row>
    <row r="51" spans="1:12" x14ac:dyDescent="0.35">
      <c r="A51" t="s">
        <v>86</v>
      </c>
      <c r="B51" s="287">
        <v>28.552000000000014</v>
      </c>
      <c r="C51" s="287">
        <v>33.938050000000004</v>
      </c>
      <c r="D51" s="16">
        <f t="shared" si="9"/>
        <v>1.1886400252171472</v>
      </c>
      <c r="E51" s="99"/>
      <c r="F51" s="99"/>
      <c r="G51" s="13"/>
      <c r="H51" s="22"/>
      <c r="I51" s="13"/>
      <c r="J51" s="4"/>
      <c r="L51" s="27"/>
    </row>
    <row r="52" spans="1:12" x14ac:dyDescent="0.35">
      <c r="A52" t="s">
        <v>87</v>
      </c>
      <c r="B52" s="287">
        <v>91.730000000000018</v>
      </c>
      <c r="C52" s="287">
        <v>121.35560999999998</v>
      </c>
      <c r="D52" s="16">
        <f t="shared" si="9"/>
        <v>1.3229653330426248</v>
      </c>
      <c r="E52" s="99"/>
      <c r="F52" s="99"/>
      <c r="G52" s="13"/>
      <c r="H52" s="22"/>
      <c r="I52" s="13"/>
      <c r="J52" s="4"/>
      <c r="L52" s="27"/>
    </row>
    <row r="53" spans="1:12" x14ac:dyDescent="0.35">
      <c r="A53" t="s">
        <v>88</v>
      </c>
      <c r="B53" s="287"/>
      <c r="C53" s="287"/>
      <c r="D53" s="16"/>
      <c r="E53" s="99"/>
      <c r="F53" s="99"/>
      <c r="G53" s="13"/>
      <c r="H53" s="22"/>
      <c r="I53" s="13"/>
      <c r="J53" s="4"/>
    </row>
    <row r="54" spans="1:12" x14ac:dyDescent="0.35">
      <c r="A54" t="s">
        <v>233</v>
      </c>
      <c r="B54" s="287">
        <v>490.0469999999998</v>
      </c>
      <c r="C54" s="287">
        <v>806.33954999999912</v>
      </c>
      <c r="D54" s="16">
        <f t="shared" si="9"/>
        <v>1.6454330911116677</v>
      </c>
      <c r="E54" s="99"/>
      <c r="F54" s="99"/>
      <c r="G54" s="13"/>
      <c r="H54" s="22"/>
      <c r="I54" s="13"/>
      <c r="J54" s="4"/>
      <c r="L54" s="27"/>
    </row>
    <row r="55" spans="1:12" x14ac:dyDescent="0.35">
      <c r="A55" t="s">
        <v>90</v>
      </c>
      <c r="B55" s="287"/>
      <c r="C55" s="287"/>
      <c r="D55" s="16"/>
      <c r="E55" s="99"/>
      <c r="F55" s="99"/>
      <c r="G55" s="13"/>
      <c r="H55" s="22"/>
      <c r="I55" s="13"/>
      <c r="J55" s="4"/>
      <c r="L55" s="27"/>
    </row>
    <row r="56" spans="1:12" x14ac:dyDescent="0.35">
      <c r="A56" t="s">
        <v>91</v>
      </c>
      <c r="B56" s="287">
        <v>29.152999999999995</v>
      </c>
      <c r="C56" s="287">
        <v>32.026849999999996</v>
      </c>
      <c r="D56" s="16">
        <f t="shared" si="9"/>
        <v>1.0985781909237471</v>
      </c>
      <c r="E56" s="99"/>
      <c r="F56" s="99"/>
      <c r="G56" s="13"/>
      <c r="H56" s="22"/>
      <c r="I56" s="13"/>
      <c r="J56" s="4"/>
      <c r="L56" s="27"/>
    </row>
    <row r="57" spans="1:12" x14ac:dyDescent="0.35">
      <c r="A57" t="s">
        <v>92</v>
      </c>
      <c r="B57" s="287">
        <v>62.155999999999999</v>
      </c>
      <c r="C57" s="287">
        <v>71.743269999999995</v>
      </c>
      <c r="D57" s="16">
        <f t="shared" si="9"/>
        <v>1.1542452860544437</v>
      </c>
      <c r="E57" s="99"/>
      <c r="F57" s="99"/>
      <c r="G57" s="13"/>
      <c r="H57" s="22"/>
      <c r="I57" s="13"/>
      <c r="J57" s="4"/>
      <c r="L57" s="27"/>
    </row>
    <row r="58" spans="1:12" x14ac:dyDescent="0.35">
      <c r="A58" t="s">
        <v>93</v>
      </c>
      <c r="B58" s="287"/>
      <c r="C58" s="287"/>
      <c r="D58" s="16"/>
      <c r="E58" s="99"/>
      <c r="F58" s="99"/>
      <c r="G58" s="13"/>
      <c r="H58" s="22"/>
      <c r="I58" s="13"/>
      <c r="J58" s="4"/>
      <c r="L58" s="27"/>
    </row>
    <row r="59" spans="1:12" x14ac:dyDescent="0.35">
      <c r="A59" t="s">
        <v>94</v>
      </c>
      <c r="B59" s="287">
        <v>81.694999999999979</v>
      </c>
      <c r="C59" s="287">
        <v>95.58633999999995</v>
      </c>
      <c r="D59" s="16">
        <f t="shared" si="9"/>
        <v>1.1700390476773361</v>
      </c>
      <c r="E59" s="99"/>
      <c r="F59" s="99"/>
      <c r="G59" s="13"/>
      <c r="H59" s="22"/>
      <c r="I59" s="13"/>
      <c r="J59" s="4"/>
      <c r="L59" s="27"/>
    </row>
    <row r="60" spans="1:12" x14ac:dyDescent="0.35">
      <c r="A60" t="s">
        <v>95</v>
      </c>
      <c r="B60" s="287">
        <v>22.61</v>
      </c>
      <c r="C60" s="287">
        <v>26.092280000000002</v>
      </c>
      <c r="D60" s="16">
        <f t="shared" si="9"/>
        <v>1.154015037593985</v>
      </c>
      <c r="E60" s="99"/>
      <c r="F60" s="99"/>
      <c r="G60" s="13"/>
      <c r="H60" s="22"/>
      <c r="I60" s="13"/>
      <c r="J60" s="4"/>
      <c r="L60" s="27"/>
    </row>
    <row r="61" spans="1:12" x14ac:dyDescent="0.35">
      <c r="A61" s="278" t="s">
        <v>96</v>
      </c>
      <c r="B61" s="284">
        <f>B40+B45+B46</f>
        <v>213.76</v>
      </c>
      <c r="C61" s="284">
        <f>C40+C45+C46</f>
        <v>294.20535000000007</v>
      </c>
      <c r="D61" s="285">
        <f t="shared" si="9"/>
        <v>1.3763349083083836</v>
      </c>
      <c r="E61" s="284"/>
      <c r="F61" s="99"/>
      <c r="G61" s="13"/>
      <c r="H61" s="22"/>
      <c r="I61" s="13"/>
      <c r="J61" s="4"/>
      <c r="L61" s="27"/>
    </row>
    <row r="62" spans="1:12" x14ac:dyDescent="0.35">
      <c r="A62" t="s">
        <v>99</v>
      </c>
      <c r="B62" s="287">
        <v>3481.4009999999998</v>
      </c>
      <c r="C62" s="287">
        <v>3844.5765799999986</v>
      </c>
      <c r="D62" s="16">
        <f t="shared" si="9"/>
        <v>1.1043188015399543</v>
      </c>
      <c r="E62" s="99"/>
      <c r="F62" s="99"/>
      <c r="G62" s="13"/>
      <c r="H62" s="22"/>
      <c r="I62" s="13"/>
      <c r="J62" s="4"/>
      <c r="L62" s="27"/>
    </row>
    <row r="63" spans="1:12" s="32" customFormat="1" x14ac:dyDescent="0.35">
      <c r="B63" s="41"/>
      <c r="F63" s="42"/>
      <c r="G63" s="40"/>
      <c r="H63" s="29"/>
      <c r="I63" s="30"/>
      <c r="K63" s="41"/>
    </row>
  </sheetData>
  <mergeCells count="8">
    <mergeCell ref="A34:A35"/>
    <mergeCell ref="B34:D34"/>
    <mergeCell ref="B2:I2"/>
    <mergeCell ref="J2:O2"/>
    <mergeCell ref="B3:E3"/>
    <mergeCell ref="F3:I3"/>
    <mergeCell ref="J3:L3"/>
    <mergeCell ref="M3:O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BEF1-976C-4F7C-9438-DADA8C1045DC}">
  <sheetPr>
    <tabColor rgb="FF00B050"/>
  </sheetPr>
  <dimension ref="A1:P63"/>
  <sheetViews>
    <sheetView workbookViewId="0">
      <selection activeCell="D1" sqref="D1"/>
    </sheetView>
  </sheetViews>
  <sheetFormatPr defaultColWidth="8.7265625" defaultRowHeight="14.5" x14ac:dyDescent="0.35"/>
  <cols>
    <col min="1" max="1" width="22.26953125" customWidth="1"/>
    <col min="2" max="2" width="15.26953125" customWidth="1"/>
    <col min="3" max="3" width="17.7265625" customWidth="1"/>
    <col min="4" max="5" width="15.7265625" customWidth="1"/>
    <col min="6" max="6" width="15.26953125" customWidth="1"/>
    <col min="7" max="9" width="15.7265625" customWidth="1"/>
    <col min="10" max="10" width="14.26953125" customWidth="1"/>
    <col min="11" max="12" width="15.7265625" customWidth="1"/>
    <col min="13" max="13" width="14.26953125" customWidth="1"/>
    <col min="14" max="15" width="15.7265625" customWidth="1"/>
  </cols>
  <sheetData>
    <row r="1" spans="1:15" s="32" customFormat="1" x14ac:dyDescent="0.35">
      <c r="B1" s="40"/>
      <c r="C1" s="40"/>
      <c r="D1" s="40"/>
      <c r="E1" s="30"/>
      <c r="F1" s="40"/>
      <c r="G1" s="40"/>
      <c r="H1" s="29"/>
      <c r="I1" s="30"/>
    </row>
    <row r="2" spans="1:15" s="5" customFormat="1" x14ac:dyDescent="0.35">
      <c r="B2" s="676" t="s">
        <v>442</v>
      </c>
      <c r="C2" s="676"/>
      <c r="D2" s="676"/>
      <c r="E2" s="676"/>
      <c r="F2" s="676"/>
      <c r="G2" s="676"/>
      <c r="H2" s="676"/>
      <c r="I2" s="676"/>
      <c r="J2" s="676" t="s">
        <v>443</v>
      </c>
      <c r="K2" s="676"/>
      <c r="L2" s="676"/>
      <c r="M2" s="676"/>
      <c r="N2" s="676"/>
      <c r="O2" s="676"/>
    </row>
    <row r="3" spans="1:15" s="6" customFormat="1" x14ac:dyDescent="0.35">
      <c r="A3" s="157" t="s">
        <v>128</v>
      </c>
      <c r="B3" s="676" t="s">
        <v>434</v>
      </c>
      <c r="C3" s="676"/>
      <c r="D3" s="676"/>
      <c r="E3" s="676"/>
      <c r="F3" s="676" t="s">
        <v>435</v>
      </c>
      <c r="G3" s="676"/>
      <c r="H3" s="676"/>
      <c r="I3" s="676"/>
      <c r="J3" s="676" t="s">
        <v>434</v>
      </c>
      <c r="K3" s="676"/>
      <c r="L3" s="676"/>
      <c r="M3" s="676" t="s">
        <v>435</v>
      </c>
      <c r="N3" s="676"/>
      <c r="O3" s="676"/>
    </row>
    <row r="4" spans="1:15" s="6" customFormat="1" ht="29.9" customHeight="1" x14ac:dyDescent="0.35">
      <c r="A4" s="157"/>
      <c r="B4" s="28" t="s">
        <v>436</v>
      </c>
      <c r="C4" s="28" t="s">
        <v>437</v>
      </c>
      <c r="D4" s="28" t="s">
        <v>438</v>
      </c>
      <c r="E4" s="28" t="s">
        <v>129</v>
      </c>
      <c r="F4" s="28" t="s">
        <v>436</v>
      </c>
      <c r="G4" s="28" t="s">
        <v>437</v>
      </c>
      <c r="H4" s="28" t="s">
        <v>438</v>
      </c>
      <c r="I4" s="28" t="s">
        <v>129</v>
      </c>
      <c r="J4" s="28" t="s">
        <v>160</v>
      </c>
      <c r="K4" s="28" t="s">
        <v>159</v>
      </c>
      <c r="L4" s="28" t="s">
        <v>161</v>
      </c>
      <c r="M4" s="28" t="s">
        <v>160</v>
      </c>
      <c r="N4" s="28" t="s">
        <v>159</v>
      </c>
      <c r="O4" s="28" t="s">
        <v>161</v>
      </c>
    </row>
    <row r="5" spans="1:15" x14ac:dyDescent="0.35">
      <c r="A5" t="s">
        <v>71</v>
      </c>
      <c r="B5" s="76">
        <f>J5*365</f>
        <v>0</v>
      </c>
      <c r="C5" s="76">
        <f>K5*365</f>
        <v>304279330</v>
      </c>
      <c r="D5" s="76">
        <f>L5*365</f>
        <v>304279330</v>
      </c>
      <c r="E5" s="154">
        <f>C5/D5</f>
        <v>1</v>
      </c>
      <c r="F5" s="76">
        <f t="shared" ref="F5:F21" si="0">M5*365</f>
        <v>28338600</v>
      </c>
      <c r="G5" s="76">
        <f t="shared" ref="G5:H20" si="1">N5*365</f>
        <v>598350705</v>
      </c>
      <c r="H5" s="76">
        <f t="shared" si="1"/>
        <v>626689305</v>
      </c>
      <c r="I5" s="154">
        <f>G5/H5</f>
        <v>0.95478046334299582</v>
      </c>
      <c r="J5" s="274"/>
      <c r="K5" s="275">
        <v>833642</v>
      </c>
      <c r="L5" s="97">
        <f>+SUM(J5:K5)</f>
        <v>833642</v>
      </c>
      <c r="M5" s="275">
        <v>77640</v>
      </c>
      <c r="N5" s="275">
        <v>1639317</v>
      </c>
      <c r="O5" s="97">
        <f>+SUM(M5:N5)</f>
        <v>1716957</v>
      </c>
    </row>
    <row r="6" spans="1:15" x14ac:dyDescent="0.35">
      <c r="A6" t="s">
        <v>72</v>
      </c>
      <c r="B6" s="76">
        <f t="shared" ref="B6:B32" si="2">J6*365</f>
        <v>0</v>
      </c>
      <c r="C6" s="76">
        <f t="shared" ref="C6:C32" si="3">K6*365</f>
        <v>905436885</v>
      </c>
      <c r="D6" s="76">
        <f t="shared" ref="D6:D21" si="4">L6*365</f>
        <v>905436885</v>
      </c>
      <c r="E6" s="154">
        <f t="shared" ref="E6:E32" si="5">C6/D6</f>
        <v>1</v>
      </c>
      <c r="F6" s="76">
        <f t="shared" si="0"/>
        <v>34999485</v>
      </c>
      <c r="G6" s="76">
        <f t="shared" si="1"/>
        <v>634010110</v>
      </c>
      <c r="H6" s="76">
        <f t="shared" si="1"/>
        <v>669009595</v>
      </c>
      <c r="I6" s="154">
        <f t="shared" ref="I6:I32" si="6">G6/H6</f>
        <v>0.94768462924661045</v>
      </c>
      <c r="J6" s="274"/>
      <c r="K6" s="275">
        <v>2480649</v>
      </c>
      <c r="L6" s="97">
        <f t="shared" ref="L6:L30" si="7">+SUM(J6:K6)</f>
        <v>2480649</v>
      </c>
      <c r="M6" s="275">
        <v>95889</v>
      </c>
      <c r="N6" s="275">
        <v>1737014</v>
      </c>
      <c r="O6" s="97">
        <f t="shared" ref="O6:O31" si="8">+SUM(M6:N6)</f>
        <v>1832903</v>
      </c>
    </row>
    <row r="7" spans="1:15" x14ac:dyDescent="0.35">
      <c r="A7" t="s">
        <v>73</v>
      </c>
      <c r="B7" s="76">
        <f t="shared" si="2"/>
        <v>1738127080</v>
      </c>
      <c r="C7" s="76">
        <f t="shared" si="3"/>
        <v>5675333535</v>
      </c>
      <c r="D7" s="76">
        <f t="shared" si="4"/>
        <v>7413460615</v>
      </c>
      <c r="E7" s="154">
        <f t="shared" si="5"/>
        <v>0.76554443730595045</v>
      </c>
      <c r="F7" s="76">
        <f t="shared" si="0"/>
        <v>3215484655</v>
      </c>
      <c r="G7" s="76">
        <f t="shared" si="1"/>
        <v>11056283255</v>
      </c>
      <c r="H7" s="76">
        <f t="shared" si="1"/>
        <v>14271767910</v>
      </c>
      <c r="I7" s="154">
        <f t="shared" si="6"/>
        <v>0.77469612207279792</v>
      </c>
      <c r="J7" s="275">
        <v>4761992</v>
      </c>
      <c r="K7" s="275">
        <v>15548859</v>
      </c>
      <c r="L7" s="97">
        <f t="shared" si="7"/>
        <v>20310851</v>
      </c>
      <c r="M7" s="275">
        <v>8809547</v>
      </c>
      <c r="N7" s="275">
        <v>30291187</v>
      </c>
      <c r="O7" s="97">
        <f t="shared" si="8"/>
        <v>39100734</v>
      </c>
    </row>
    <row r="8" spans="1:15" x14ac:dyDescent="0.35">
      <c r="A8" t="s">
        <v>74</v>
      </c>
      <c r="B8" s="76">
        <f t="shared" si="2"/>
        <v>0</v>
      </c>
      <c r="C8" s="76">
        <f t="shared" si="3"/>
        <v>1753897270</v>
      </c>
      <c r="D8" s="76">
        <f t="shared" si="4"/>
        <v>1753897270</v>
      </c>
      <c r="E8" s="154">
        <f t="shared" si="5"/>
        <v>1</v>
      </c>
      <c r="F8" s="76">
        <f t="shared" si="0"/>
        <v>211943820</v>
      </c>
      <c r="G8" s="76">
        <f t="shared" si="1"/>
        <v>2497129250</v>
      </c>
      <c r="H8" s="76">
        <f t="shared" si="1"/>
        <v>2709073070</v>
      </c>
      <c r="I8" s="154">
        <f t="shared" si="6"/>
        <v>0.92176518885849024</v>
      </c>
      <c r="J8" s="274"/>
      <c r="K8" s="275">
        <v>4805198</v>
      </c>
      <c r="L8" s="97">
        <f t="shared" si="7"/>
        <v>4805198</v>
      </c>
      <c r="M8" s="275">
        <v>580668</v>
      </c>
      <c r="N8" s="275">
        <v>6841450</v>
      </c>
      <c r="O8" s="97">
        <f t="shared" si="8"/>
        <v>7422118</v>
      </c>
    </row>
    <row r="9" spans="1:15" x14ac:dyDescent="0.35">
      <c r="A9" t="s">
        <v>75</v>
      </c>
      <c r="B9" s="76">
        <f t="shared" si="2"/>
        <v>10140065</v>
      </c>
      <c r="C9" s="76">
        <f t="shared" si="3"/>
        <v>676850160</v>
      </c>
      <c r="D9" s="76">
        <f t="shared" si="4"/>
        <v>686990225</v>
      </c>
      <c r="E9" s="154">
        <f t="shared" si="5"/>
        <v>0.98523987004327462</v>
      </c>
      <c r="F9" s="76">
        <f t="shared" si="0"/>
        <v>170359735</v>
      </c>
      <c r="G9" s="76">
        <f t="shared" si="1"/>
        <v>680238820</v>
      </c>
      <c r="H9" s="76">
        <f t="shared" si="1"/>
        <v>850598555</v>
      </c>
      <c r="I9" s="154">
        <f t="shared" si="6"/>
        <v>0.79971781753144411</v>
      </c>
      <c r="J9" s="275">
        <v>27781</v>
      </c>
      <c r="K9" s="275">
        <v>1854384</v>
      </c>
      <c r="L9" s="97">
        <f t="shared" si="7"/>
        <v>1882165</v>
      </c>
      <c r="M9" s="275">
        <v>466739</v>
      </c>
      <c r="N9" s="275">
        <v>1863668</v>
      </c>
      <c r="O9" s="97">
        <f t="shared" si="8"/>
        <v>2330407</v>
      </c>
    </row>
    <row r="10" spans="1:15" x14ac:dyDescent="0.35">
      <c r="A10" t="s">
        <v>76</v>
      </c>
      <c r="B10" s="76">
        <f t="shared" si="2"/>
        <v>0</v>
      </c>
      <c r="C10" s="76">
        <f t="shared" si="3"/>
        <v>0</v>
      </c>
      <c r="D10" s="76"/>
      <c r="E10" s="154"/>
      <c r="F10" s="76">
        <f t="shared" si="0"/>
        <v>49226090</v>
      </c>
      <c r="G10" s="76">
        <f t="shared" si="1"/>
        <v>1096819160</v>
      </c>
      <c r="H10" s="76">
        <f t="shared" si="1"/>
        <v>1146045250</v>
      </c>
      <c r="I10" s="154">
        <f t="shared" si="6"/>
        <v>0.95704699269073368</v>
      </c>
      <c r="J10" s="274"/>
      <c r="K10" s="274"/>
      <c r="L10" s="97"/>
      <c r="M10" s="275">
        <v>134866</v>
      </c>
      <c r="N10" s="275">
        <v>3004984</v>
      </c>
      <c r="O10" s="97">
        <f t="shared" si="8"/>
        <v>3139850</v>
      </c>
    </row>
    <row r="11" spans="1:15" x14ac:dyDescent="0.35">
      <c r="A11" t="s">
        <v>77</v>
      </c>
      <c r="B11" s="76">
        <f t="shared" si="2"/>
        <v>0</v>
      </c>
      <c r="C11" s="76">
        <f t="shared" si="3"/>
        <v>790800240</v>
      </c>
      <c r="D11" s="76">
        <f t="shared" si="4"/>
        <v>790800240</v>
      </c>
      <c r="E11" s="154">
        <f t="shared" si="5"/>
        <v>1</v>
      </c>
      <c r="F11" s="76">
        <f t="shared" si="0"/>
        <v>95743880</v>
      </c>
      <c r="G11" s="76">
        <f t="shared" si="1"/>
        <v>1980262240</v>
      </c>
      <c r="H11" s="76">
        <f t="shared" si="1"/>
        <v>2076006120</v>
      </c>
      <c r="I11" s="154">
        <f t="shared" si="6"/>
        <v>0.95388073326103684</v>
      </c>
      <c r="J11" s="274"/>
      <c r="K11" s="275">
        <v>2166576</v>
      </c>
      <c r="L11" s="97">
        <f t="shared" si="7"/>
        <v>2166576</v>
      </c>
      <c r="M11" s="275">
        <v>262312</v>
      </c>
      <c r="N11" s="275">
        <v>5425376</v>
      </c>
      <c r="O11" s="97">
        <f t="shared" si="8"/>
        <v>5687688</v>
      </c>
    </row>
    <row r="12" spans="1:15" x14ac:dyDescent="0.35">
      <c r="A12" t="s">
        <v>78</v>
      </c>
      <c r="B12" s="76">
        <f t="shared" si="2"/>
        <v>7506209305</v>
      </c>
      <c r="C12" s="76">
        <f t="shared" si="3"/>
        <v>28689604805</v>
      </c>
      <c r="D12" s="76">
        <f t="shared" si="4"/>
        <v>36195814110</v>
      </c>
      <c r="E12" s="154">
        <f t="shared" si="5"/>
        <v>0.79262217221614528</v>
      </c>
      <c r="F12" s="76">
        <f t="shared" si="0"/>
        <v>11065799900</v>
      </c>
      <c r="G12" s="76">
        <f t="shared" si="1"/>
        <v>35508979010</v>
      </c>
      <c r="H12" s="76">
        <f t="shared" si="1"/>
        <v>46574778910</v>
      </c>
      <c r="I12" s="154">
        <f t="shared" si="6"/>
        <v>0.76240789201848302</v>
      </c>
      <c r="J12" s="275">
        <v>20564957</v>
      </c>
      <c r="K12" s="275">
        <v>78601657</v>
      </c>
      <c r="L12" s="97">
        <f t="shared" si="7"/>
        <v>99166614</v>
      </c>
      <c r="M12" s="275">
        <v>30317260</v>
      </c>
      <c r="N12" s="275">
        <v>97284874</v>
      </c>
      <c r="O12" s="97">
        <f t="shared" si="8"/>
        <v>127602134</v>
      </c>
    </row>
    <row r="13" spans="1:15" x14ac:dyDescent="0.35">
      <c r="A13" t="s">
        <v>79</v>
      </c>
      <c r="B13" s="76">
        <f t="shared" si="2"/>
        <v>330041030</v>
      </c>
      <c r="C13" s="76">
        <f t="shared" si="3"/>
        <v>2676931170</v>
      </c>
      <c r="D13" s="76">
        <f t="shared" si="4"/>
        <v>3006972200</v>
      </c>
      <c r="E13" s="154">
        <f t="shared" si="5"/>
        <v>0.89024140961462828</v>
      </c>
      <c r="F13" s="76">
        <f t="shared" si="0"/>
        <v>95743880</v>
      </c>
      <c r="G13" s="76">
        <f t="shared" si="1"/>
        <v>1980262240</v>
      </c>
      <c r="H13" s="76">
        <f t="shared" si="1"/>
        <v>2076006120</v>
      </c>
      <c r="I13" s="154">
        <f t="shared" si="6"/>
        <v>0.95388073326103684</v>
      </c>
      <c r="J13" s="275">
        <v>904222</v>
      </c>
      <c r="K13" s="275">
        <v>7334058</v>
      </c>
      <c r="L13" s="97">
        <f t="shared" si="7"/>
        <v>8238280</v>
      </c>
      <c r="M13" s="275">
        <v>262312</v>
      </c>
      <c r="N13" s="275">
        <v>5425376</v>
      </c>
      <c r="O13" s="97">
        <f t="shared" si="8"/>
        <v>5687688</v>
      </c>
    </row>
    <row r="14" spans="1:15" x14ac:dyDescent="0.35">
      <c r="A14" t="s">
        <v>80</v>
      </c>
      <c r="B14" s="76">
        <f t="shared" si="2"/>
        <v>0</v>
      </c>
      <c r="C14" s="76">
        <f t="shared" si="3"/>
        <v>959555800</v>
      </c>
      <c r="D14" s="76">
        <f t="shared" si="4"/>
        <v>959555800</v>
      </c>
      <c r="E14" s="154">
        <f t="shared" si="5"/>
        <v>1</v>
      </c>
      <c r="F14" s="76">
        <f t="shared" si="0"/>
        <v>70976805</v>
      </c>
      <c r="G14" s="76">
        <f t="shared" si="1"/>
        <v>325985515</v>
      </c>
      <c r="H14" s="76">
        <f t="shared" si="1"/>
        <v>396962320</v>
      </c>
      <c r="I14" s="154">
        <f t="shared" si="6"/>
        <v>0.82120014564606536</v>
      </c>
      <c r="J14" s="274"/>
      <c r="K14" s="275">
        <v>2628920</v>
      </c>
      <c r="L14" s="97">
        <f t="shared" si="7"/>
        <v>2628920</v>
      </c>
      <c r="M14" s="275">
        <v>194457</v>
      </c>
      <c r="N14" s="275">
        <v>893111</v>
      </c>
      <c r="O14" s="97">
        <f t="shared" si="8"/>
        <v>1087568</v>
      </c>
    </row>
    <row r="15" spans="1:15" x14ac:dyDescent="0.35">
      <c r="A15" t="s">
        <v>81</v>
      </c>
      <c r="B15" s="76">
        <f t="shared" si="2"/>
        <v>176453410</v>
      </c>
      <c r="C15" s="76">
        <f t="shared" si="3"/>
        <v>2014387550</v>
      </c>
      <c r="D15" s="76">
        <f t="shared" si="4"/>
        <v>2190840960</v>
      </c>
      <c r="E15" s="154">
        <f t="shared" si="5"/>
        <v>0.91945859456635315</v>
      </c>
      <c r="F15" s="76">
        <f t="shared" si="0"/>
        <v>322215430</v>
      </c>
      <c r="G15" s="76">
        <f t="shared" si="1"/>
        <v>2164636150</v>
      </c>
      <c r="H15" s="76">
        <f t="shared" si="1"/>
        <v>2486851580</v>
      </c>
      <c r="I15" s="154">
        <f t="shared" si="6"/>
        <v>0.87043238422777125</v>
      </c>
      <c r="J15" s="275">
        <v>483434</v>
      </c>
      <c r="K15" s="275">
        <v>5518870</v>
      </c>
      <c r="L15" s="97">
        <f t="shared" si="7"/>
        <v>6002304</v>
      </c>
      <c r="M15" s="275">
        <v>882782</v>
      </c>
      <c r="N15" s="275">
        <v>5930510</v>
      </c>
      <c r="O15" s="97">
        <f t="shared" si="8"/>
        <v>6813292</v>
      </c>
    </row>
    <row r="16" spans="1:15" x14ac:dyDescent="0.35">
      <c r="A16" t="s">
        <v>82</v>
      </c>
      <c r="B16" s="76">
        <f t="shared" si="2"/>
        <v>14283011735</v>
      </c>
      <c r="C16" s="76">
        <f t="shared" si="3"/>
        <v>28521131755</v>
      </c>
      <c r="D16" s="76">
        <f t="shared" si="4"/>
        <v>42804143490</v>
      </c>
      <c r="E16" s="154">
        <f t="shared" si="5"/>
        <v>0.66631707656206629</v>
      </c>
      <c r="F16" s="76">
        <f t="shared" si="0"/>
        <v>7567891750</v>
      </c>
      <c r="G16" s="76">
        <f t="shared" si="1"/>
        <v>25057220435</v>
      </c>
      <c r="H16" s="76">
        <f t="shared" si="1"/>
        <v>32625112185</v>
      </c>
      <c r="I16" s="154">
        <f t="shared" si="6"/>
        <v>0.76803476698910855</v>
      </c>
      <c r="J16" s="275">
        <v>39131539</v>
      </c>
      <c r="K16" s="275">
        <v>78140087</v>
      </c>
      <c r="L16" s="97">
        <f t="shared" si="7"/>
        <v>117271626</v>
      </c>
      <c r="M16" s="275">
        <v>20733950</v>
      </c>
      <c r="N16" s="275">
        <v>68649919</v>
      </c>
      <c r="O16" s="97">
        <f t="shared" si="8"/>
        <v>89383869</v>
      </c>
    </row>
    <row r="17" spans="1:16" x14ac:dyDescent="0.35">
      <c r="A17" t="s">
        <v>83</v>
      </c>
      <c r="B17" s="76">
        <f t="shared" si="2"/>
        <v>0</v>
      </c>
      <c r="C17" s="76">
        <f t="shared" si="3"/>
        <v>1574263980</v>
      </c>
      <c r="D17" s="76">
        <f t="shared" si="4"/>
        <v>1574263980</v>
      </c>
      <c r="E17" s="154">
        <f t="shared" si="5"/>
        <v>1</v>
      </c>
      <c r="F17" s="76">
        <f t="shared" si="0"/>
        <v>11462460</v>
      </c>
      <c r="G17" s="76">
        <f t="shared" si="1"/>
        <v>1581465065</v>
      </c>
      <c r="H17" s="76">
        <f t="shared" si="1"/>
        <v>1592927525</v>
      </c>
      <c r="I17" s="154">
        <f t="shared" si="6"/>
        <v>0.99280415472762951</v>
      </c>
      <c r="J17" s="274"/>
      <c r="K17" s="275">
        <v>4313052</v>
      </c>
      <c r="L17" s="97">
        <f t="shared" si="7"/>
        <v>4313052</v>
      </c>
      <c r="M17" s="275">
        <v>31404</v>
      </c>
      <c r="N17" s="275">
        <v>4332781</v>
      </c>
      <c r="O17" s="97">
        <f t="shared" si="8"/>
        <v>4364185</v>
      </c>
    </row>
    <row r="18" spans="1:16" x14ac:dyDescent="0.35">
      <c r="A18" t="s">
        <v>84</v>
      </c>
      <c r="B18" s="76">
        <f t="shared" si="2"/>
        <v>23843625</v>
      </c>
      <c r="C18" s="76">
        <f t="shared" si="3"/>
        <v>491099105</v>
      </c>
      <c r="D18" s="76">
        <f t="shared" si="4"/>
        <v>514942730</v>
      </c>
      <c r="E18" s="154">
        <f t="shared" si="5"/>
        <v>0.95369654990565655</v>
      </c>
      <c r="F18" s="76">
        <f t="shared" si="0"/>
        <v>33984785</v>
      </c>
      <c r="G18" s="76">
        <f t="shared" si="1"/>
        <v>694953795</v>
      </c>
      <c r="H18" s="76">
        <f t="shared" si="1"/>
        <v>728938580</v>
      </c>
      <c r="I18" s="154">
        <f t="shared" si="6"/>
        <v>0.95337771119207326</v>
      </c>
      <c r="J18" s="275">
        <v>65325</v>
      </c>
      <c r="K18" s="275">
        <v>1345477</v>
      </c>
      <c r="L18" s="97">
        <f t="shared" si="7"/>
        <v>1410802</v>
      </c>
      <c r="M18" s="275">
        <v>93109</v>
      </c>
      <c r="N18" s="275">
        <v>1903983</v>
      </c>
      <c r="O18" s="97">
        <f t="shared" si="8"/>
        <v>1997092</v>
      </c>
    </row>
    <row r="19" spans="1:16" x14ac:dyDescent="0.35">
      <c r="A19" t="s">
        <v>85</v>
      </c>
      <c r="B19" s="76">
        <f t="shared" si="2"/>
        <v>0</v>
      </c>
      <c r="C19" s="76">
        <f t="shared" si="3"/>
        <v>321279570</v>
      </c>
      <c r="D19" s="76">
        <f t="shared" si="4"/>
        <v>321279570</v>
      </c>
      <c r="E19" s="154">
        <f t="shared" si="5"/>
        <v>1</v>
      </c>
      <c r="F19" s="76">
        <f t="shared" si="0"/>
        <v>34493960</v>
      </c>
      <c r="G19" s="76">
        <f t="shared" si="1"/>
        <v>817206530</v>
      </c>
      <c r="H19" s="76">
        <f t="shared" si="1"/>
        <v>851700490</v>
      </c>
      <c r="I19" s="154">
        <f t="shared" si="6"/>
        <v>0.95949989414706105</v>
      </c>
      <c r="J19" s="274"/>
      <c r="K19" s="275">
        <v>880218</v>
      </c>
      <c r="L19" s="97">
        <f t="shared" si="7"/>
        <v>880218</v>
      </c>
      <c r="M19" s="275">
        <v>94504</v>
      </c>
      <c r="N19" s="275">
        <v>2238922</v>
      </c>
      <c r="O19" s="97">
        <f t="shared" si="8"/>
        <v>2333426</v>
      </c>
    </row>
    <row r="20" spans="1:16" x14ac:dyDescent="0.35">
      <c r="A20" t="s">
        <v>86</v>
      </c>
      <c r="B20" s="76">
        <f t="shared" si="2"/>
        <v>0</v>
      </c>
      <c r="C20" s="76">
        <f t="shared" si="3"/>
        <v>323602795</v>
      </c>
      <c r="D20" s="76">
        <f t="shared" si="4"/>
        <v>323602795</v>
      </c>
      <c r="E20" s="154">
        <f t="shared" si="5"/>
        <v>1</v>
      </c>
      <c r="F20" s="76">
        <f t="shared" si="0"/>
        <v>36482115</v>
      </c>
      <c r="G20" s="76">
        <f t="shared" si="1"/>
        <v>1061131650</v>
      </c>
      <c r="H20" s="76">
        <f t="shared" si="1"/>
        <v>1097613765</v>
      </c>
      <c r="I20" s="154">
        <f t="shared" si="6"/>
        <v>0.96676233829848157</v>
      </c>
      <c r="J20" s="274">
        <v>0</v>
      </c>
      <c r="K20" s="275">
        <v>886583</v>
      </c>
      <c r="L20" s="97">
        <f t="shared" si="7"/>
        <v>886583</v>
      </c>
      <c r="M20" s="275">
        <v>99951</v>
      </c>
      <c r="N20" s="275">
        <v>2907210</v>
      </c>
      <c r="O20" s="97">
        <f t="shared" si="8"/>
        <v>3007161</v>
      </c>
    </row>
    <row r="21" spans="1:16" x14ac:dyDescent="0.35">
      <c r="A21" t="s">
        <v>87</v>
      </c>
      <c r="B21" s="76">
        <f t="shared" si="2"/>
        <v>125055935</v>
      </c>
      <c r="C21" s="76">
        <f t="shared" si="3"/>
        <v>747658335</v>
      </c>
      <c r="D21" s="76">
        <f t="shared" si="4"/>
        <v>872714270</v>
      </c>
      <c r="E21" s="154">
        <f t="shared" si="5"/>
        <v>0.85670460619373168</v>
      </c>
      <c r="F21" s="76">
        <f t="shared" si="0"/>
        <v>19750515</v>
      </c>
      <c r="G21" s="76">
        <f>N21*365</f>
        <v>1570829695</v>
      </c>
      <c r="H21" s="76">
        <f>O21*365</f>
        <v>1590580210</v>
      </c>
      <c r="I21" s="154">
        <f t="shared" si="6"/>
        <v>0.9875828236288694</v>
      </c>
      <c r="J21" s="275">
        <v>342619</v>
      </c>
      <c r="K21" s="275">
        <v>2048379</v>
      </c>
      <c r="L21" s="97">
        <f t="shared" si="7"/>
        <v>2390998</v>
      </c>
      <c r="M21" s="275">
        <v>54111</v>
      </c>
      <c r="N21" s="275">
        <v>4303643</v>
      </c>
      <c r="O21" s="97">
        <f t="shared" si="8"/>
        <v>4357754</v>
      </c>
    </row>
    <row r="22" spans="1:16" x14ac:dyDescent="0.35">
      <c r="A22" t="s">
        <v>88</v>
      </c>
      <c r="B22" s="76">
        <f t="shared" si="2"/>
        <v>0</v>
      </c>
      <c r="C22" s="76">
        <f t="shared" si="3"/>
        <v>0</v>
      </c>
      <c r="D22" s="76"/>
      <c r="E22" s="154"/>
      <c r="F22" s="76">
        <f t="shared" ref="F22:H31" si="9">M22*365</f>
        <v>13549895</v>
      </c>
      <c r="G22" s="76">
        <f t="shared" si="9"/>
        <v>459603620</v>
      </c>
      <c r="H22" s="76">
        <f t="shared" si="9"/>
        <v>473153515</v>
      </c>
      <c r="I22" s="154">
        <f t="shared" si="6"/>
        <v>0.97136258197299874</v>
      </c>
      <c r="J22" s="274"/>
      <c r="K22" s="274"/>
      <c r="L22" s="97"/>
      <c r="M22" s="275">
        <v>37123</v>
      </c>
      <c r="N22" s="275">
        <v>1259188</v>
      </c>
      <c r="O22" s="97">
        <f t="shared" si="8"/>
        <v>1296311</v>
      </c>
    </row>
    <row r="23" spans="1:16" x14ac:dyDescent="0.35">
      <c r="A23" t="s">
        <v>233</v>
      </c>
      <c r="B23" s="76">
        <f t="shared" si="2"/>
        <v>3266084605</v>
      </c>
      <c r="C23" s="76">
        <f t="shared" si="3"/>
        <v>11397779445</v>
      </c>
      <c r="D23" s="76">
        <f>L23*365</f>
        <v>14663864050</v>
      </c>
      <c r="E23" s="154">
        <f t="shared" si="5"/>
        <v>0.77726985234836521</v>
      </c>
      <c r="F23" s="76">
        <f t="shared" si="9"/>
        <v>2294737845</v>
      </c>
      <c r="G23" s="76">
        <f t="shared" si="9"/>
        <v>7015097790</v>
      </c>
      <c r="H23" s="76">
        <f t="shared" si="9"/>
        <v>9309835635</v>
      </c>
      <c r="I23" s="154">
        <f t="shared" si="6"/>
        <v>0.75351467684638662</v>
      </c>
      <c r="J23" s="275">
        <v>8948177</v>
      </c>
      <c r="K23" s="275">
        <v>31226793</v>
      </c>
      <c r="L23" s="97">
        <f t="shared" si="7"/>
        <v>40174970</v>
      </c>
      <c r="M23" s="275">
        <v>6286953</v>
      </c>
      <c r="N23" s="275">
        <v>19219446</v>
      </c>
      <c r="O23" s="97">
        <f t="shared" si="8"/>
        <v>25506399</v>
      </c>
    </row>
    <row r="24" spans="1:16" x14ac:dyDescent="0.35">
      <c r="A24" t="s">
        <v>90</v>
      </c>
      <c r="B24" s="76">
        <f t="shared" si="2"/>
        <v>0</v>
      </c>
      <c r="C24" s="76">
        <f t="shared" si="3"/>
        <v>0</v>
      </c>
      <c r="D24" s="76"/>
      <c r="E24" s="154"/>
      <c r="F24" s="76">
        <f t="shared" si="9"/>
        <v>10087505</v>
      </c>
      <c r="G24" s="76">
        <f t="shared" si="9"/>
        <v>1278747935</v>
      </c>
      <c r="H24" s="76">
        <f t="shared" si="9"/>
        <v>1288835440</v>
      </c>
      <c r="I24" s="154">
        <f t="shared" si="6"/>
        <v>0.99217316292916335</v>
      </c>
      <c r="J24" s="274"/>
      <c r="K24" s="274"/>
      <c r="L24" s="97"/>
      <c r="M24" s="275">
        <v>27637</v>
      </c>
      <c r="N24" s="275">
        <v>3503419</v>
      </c>
      <c r="O24" s="97">
        <f t="shared" si="8"/>
        <v>3531056</v>
      </c>
    </row>
    <row r="25" spans="1:16" x14ac:dyDescent="0.35">
      <c r="A25" t="s">
        <v>91</v>
      </c>
      <c r="B25" s="76">
        <f t="shared" si="2"/>
        <v>0</v>
      </c>
      <c r="C25" s="76">
        <f t="shared" si="3"/>
        <v>325071555</v>
      </c>
      <c r="D25" s="76">
        <f t="shared" ref="D25:D32" si="10">L25*365</f>
        <v>325071555</v>
      </c>
      <c r="E25" s="154">
        <f t="shared" si="5"/>
        <v>1</v>
      </c>
      <c r="F25" s="76">
        <f t="shared" si="9"/>
        <v>4083255</v>
      </c>
      <c r="G25" s="76">
        <f t="shared" si="9"/>
        <v>171869010</v>
      </c>
      <c r="H25" s="76">
        <f t="shared" si="9"/>
        <v>175952265</v>
      </c>
      <c r="I25" s="154">
        <f t="shared" si="6"/>
        <v>0.97679339336722948</v>
      </c>
      <c r="J25" s="274"/>
      <c r="K25" s="275">
        <v>890607</v>
      </c>
      <c r="L25" s="97">
        <f t="shared" si="7"/>
        <v>890607</v>
      </c>
      <c r="M25" s="275">
        <v>11187</v>
      </c>
      <c r="N25" s="275">
        <v>470874</v>
      </c>
      <c r="O25" s="97">
        <f t="shared" si="8"/>
        <v>482061</v>
      </c>
    </row>
    <row r="26" spans="1:16" x14ac:dyDescent="0.35">
      <c r="A26" t="s">
        <v>92</v>
      </c>
      <c r="B26" s="76">
        <f t="shared" si="2"/>
        <v>0</v>
      </c>
      <c r="C26" s="76">
        <f t="shared" si="3"/>
        <v>673485590</v>
      </c>
      <c r="D26" s="76">
        <f t="shared" si="10"/>
        <v>673485590</v>
      </c>
      <c r="E26" s="154">
        <f t="shared" si="5"/>
        <v>1</v>
      </c>
      <c r="F26" s="76">
        <f t="shared" si="9"/>
        <v>78008165</v>
      </c>
      <c r="G26" s="76">
        <f t="shared" si="9"/>
        <v>1358171205</v>
      </c>
      <c r="H26" s="76">
        <f t="shared" si="9"/>
        <v>1436179370</v>
      </c>
      <c r="I26" s="154">
        <f t="shared" si="6"/>
        <v>0.94568354995936199</v>
      </c>
      <c r="J26" s="276">
        <v>0</v>
      </c>
      <c r="K26" s="277">
        <v>1845166</v>
      </c>
      <c r="L26" s="97">
        <f t="shared" si="7"/>
        <v>1845166</v>
      </c>
      <c r="M26" s="275">
        <v>213721</v>
      </c>
      <c r="N26" s="275">
        <v>3721017</v>
      </c>
      <c r="O26" s="97">
        <f t="shared" si="8"/>
        <v>3934738</v>
      </c>
    </row>
    <row r="27" spans="1:16" x14ac:dyDescent="0.35">
      <c r="A27" t="s">
        <v>93</v>
      </c>
      <c r="B27" s="76">
        <f t="shared" si="2"/>
        <v>0</v>
      </c>
      <c r="C27" s="76">
        <f t="shared" si="3"/>
        <v>0</v>
      </c>
      <c r="D27" s="76"/>
      <c r="E27" s="154"/>
      <c r="F27" s="76">
        <f t="shared" si="9"/>
        <v>11151480</v>
      </c>
      <c r="G27" s="76">
        <f t="shared" si="9"/>
        <v>1072714195</v>
      </c>
      <c r="H27" s="76">
        <f t="shared" si="9"/>
        <v>1083865675</v>
      </c>
      <c r="I27" s="154">
        <f t="shared" si="6"/>
        <v>0.98971138190163643</v>
      </c>
      <c r="J27" s="274"/>
      <c r="K27" s="274"/>
      <c r="L27" s="97"/>
      <c r="M27" s="275">
        <v>30552</v>
      </c>
      <c r="N27" s="275">
        <v>2938943</v>
      </c>
      <c r="O27" s="97">
        <f t="shared" si="8"/>
        <v>2969495</v>
      </c>
    </row>
    <row r="28" spans="1:16" x14ac:dyDescent="0.35">
      <c r="A28" t="s">
        <v>94</v>
      </c>
      <c r="B28" s="76">
        <f t="shared" si="2"/>
        <v>0</v>
      </c>
      <c r="C28" s="76">
        <f t="shared" si="3"/>
        <v>1990934475</v>
      </c>
      <c r="D28" s="76">
        <f t="shared" si="10"/>
        <v>1990934475</v>
      </c>
      <c r="E28" s="154">
        <f t="shared" si="5"/>
        <v>1</v>
      </c>
      <c r="F28" s="76">
        <f t="shared" si="9"/>
        <v>37007350</v>
      </c>
      <c r="G28" s="76">
        <f t="shared" si="9"/>
        <v>1035596615</v>
      </c>
      <c r="H28" s="76">
        <f t="shared" si="9"/>
        <v>1072603965</v>
      </c>
      <c r="I28" s="154">
        <f t="shared" si="6"/>
        <v>0.96549765691011591</v>
      </c>
      <c r="J28" s="274"/>
      <c r="K28" s="275">
        <v>5454615</v>
      </c>
      <c r="L28" s="97">
        <f t="shared" si="7"/>
        <v>5454615</v>
      </c>
      <c r="M28" s="275">
        <v>101390</v>
      </c>
      <c r="N28" s="275">
        <v>2837251</v>
      </c>
      <c r="O28" s="97">
        <f t="shared" si="8"/>
        <v>2938641</v>
      </c>
    </row>
    <row r="29" spans="1:16" x14ac:dyDescent="0.35">
      <c r="A29" t="s">
        <v>95</v>
      </c>
      <c r="B29" s="76">
        <f t="shared" si="2"/>
        <v>0</v>
      </c>
      <c r="C29" s="76">
        <f t="shared" si="3"/>
        <v>258882090</v>
      </c>
      <c r="D29" s="76">
        <f t="shared" si="10"/>
        <v>258882090</v>
      </c>
      <c r="E29" s="154">
        <f t="shared" si="5"/>
        <v>1</v>
      </c>
      <c r="F29" s="76">
        <f t="shared" si="9"/>
        <v>20509350</v>
      </c>
      <c r="G29" s="76">
        <f t="shared" si="9"/>
        <v>585560740</v>
      </c>
      <c r="H29" s="76">
        <f t="shared" si="9"/>
        <v>606070090</v>
      </c>
      <c r="I29" s="154">
        <f t="shared" si="6"/>
        <v>0.96616010204364322</v>
      </c>
      <c r="J29" s="274"/>
      <c r="K29" s="275">
        <v>709266</v>
      </c>
      <c r="L29" s="97">
        <f t="shared" si="7"/>
        <v>709266</v>
      </c>
      <c r="M29" s="275">
        <v>56190</v>
      </c>
      <c r="N29" s="275">
        <v>1604276</v>
      </c>
      <c r="O29" s="97">
        <f t="shared" si="8"/>
        <v>1660466</v>
      </c>
    </row>
    <row r="30" spans="1:16" x14ac:dyDescent="0.35">
      <c r="A30" s="278" t="s">
        <v>96</v>
      </c>
      <c r="B30" s="279">
        <f t="shared" si="2"/>
        <v>186593475</v>
      </c>
      <c r="C30" s="279">
        <f t="shared" si="3"/>
        <v>3650793510</v>
      </c>
      <c r="D30" s="279">
        <f t="shared" si="10"/>
        <v>3837386985</v>
      </c>
      <c r="E30" s="280">
        <f t="shared" si="5"/>
        <v>0.95137486114135028</v>
      </c>
      <c r="F30" s="279">
        <f>M30*365</f>
        <v>563551970</v>
      </c>
      <c r="G30" s="279">
        <f>N30*365</f>
        <v>3170860485</v>
      </c>
      <c r="H30" s="279">
        <f>O30*365</f>
        <v>3734412455</v>
      </c>
      <c r="I30" s="280">
        <f>G30/H30</f>
        <v>0.84909219943140957</v>
      </c>
      <c r="J30" s="282">
        <f>J9+J14+J15</f>
        <v>511215</v>
      </c>
      <c r="K30" s="282">
        <f>K9+K14+K15</f>
        <v>10002174</v>
      </c>
      <c r="L30" s="283">
        <f t="shared" si="7"/>
        <v>10513389</v>
      </c>
      <c r="M30" s="282">
        <f>M9+M14+M15</f>
        <v>1543978</v>
      </c>
      <c r="N30" s="282">
        <f>N9+N14+N15</f>
        <v>8687289</v>
      </c>
      <c r="O30" s="283">
        <f t="shared" si="8"/>
        <v>10231267</v>
      </c>
      <c r="P30" s="278"/>
    </row>
    <row r="31" spans="1:16" x14ac:dyDescent="0.35">
      <c r="A31" t="s">
        <v>99</v>
      </c>
      <c r="B31" s="76">
        <f t="shared" si="2"/>
        <v>22067535</v>
      </c>
      <c r="C31" s="76">
        <f t="shared" si="3"/>
        <v>22462786565</v>
      </c>
      <c r="D31" s="76">
        <f t="shared" si="10"/>
        <v>22484854100</v>
      </c>
      <c r="E31" s="154">
        <f t="shared" si="5"/>
        <v>0.99901856000924638</v>
      </c>
      <c r="F31" s="76">
        <f t="shared" si="9"/>
        <v>333111775</v>
      </c>
      <c r="G31" s="76">
        <f t="shared" si="9"/>
        <v>28134454040</v>
      </c>
      <c r="H31" s="76">
        <f t="shared" si="9"/>
        <v>28467565815</v>
      </c>
      <c r="I31" s="154">
        <f t="shared" si="6"/>
        <v>0.98829855080814533</v>
      </c>
      <c r="J31" s="275">
        <v>60459</v>
      </c>
      <c r="K31" s="275">
        <v>61541881</v>
      </c>
      <c r="L31" s="78">
        <f>+J31++K31</f>
        <v>61602340</v>
      </c>
      <c r="M31" s="275">
        <v>912635</v>
      </c>
      <c r="N31" s="275">
        <v>77080696</v>
      </c>
      <c r="O31" s="97">
        <f t="shared" si="8"/>
        <v>77993331</v>
      </c>
    </row>
    <row r="32" spans="1:16" x14ac:dyDescent="0.35">
      <c r="A32" t="s">
        <v>439</v>
      </c>
      <c r="B32" s="76">
        <f t="shared" si="2"/>
        <v>27481034325</v>
      </c>
      <c r="C32" s="76">
        <f t="shared" si="3"/>
        <v>113535052005</v>
      </c>
      <c r="D32" s="76">
        <f t="shared" si="10"/>
        <v>141016086330</v>
      </c>
      <c r="E32" s="154">
        <f t="shared" si="5"/>
        <v>0.80512128055596421</v>
      </c>
      <c r="F32" s="76">
        <f>M32*365</f>
        <v>25867144485</v>
      </c>
      <c r="G32" s="76">
        <f>N32*365</f>
        <v>130417578775</v>
      </c>
      <c r="H32" s="76">
        <f>O32*365</f>
        <v>156284723260</v>
      </c>
      <c r="I32" s="154">
        <f t="shared" si="6"/>
        <v>0.83448705704928927</v>
      </c>
      <c r="J32" s="97">
        <f t="shared" ref="J32:O32" si="11">SUM(J5:J29,J31)</f>
        <v>75290505</v>
      </c>
      <c r="K32" s="97">
        <f t="shared" si="11"/>
        <v>311054937</v>
      </c>
      <c r="L32" s="97">
        <f t="shared" si="11"/>
        <v>386345442</v>
      </c>
      <c r="M32" s="97">
        <f t="shared" si="11"/>
        <v>70868889</v>
      </c>
      <c r="N32" s="97">
        <f t="shared" si="11"/>
        <v>357308435</v>
      </c>
      <c r="O32" s="97">
        <f t="shared" si="11"/>
        <v>428177324</v>
      </c>
    </row>
    <row r="33" spans="1:15" s="32" customFormat="1" x14ac:dyDescent="0.35">
      <c r="B33" s="40"/>
      <c r="C33" s="40"/>
      <c r="D33" s="40"/>
      <c r="E33" s="30"/>
      <c r="F33" s="40"/>
      <c r="G33" s="40"/>
      <c r="H33" s="29"/>
      <c r="I33" s="30"/>
    </row>
    <row r="34" spans="1:15" s="5" customFormat="1" ht="15" customHeight="1" x14ac:dyDescent="0.35">
      <c r="A34" s="674" t="s">
        <v>128</v>
      </c>
      <c r="B34" s="675" t="s">
        <v>444</v>
      </c>
      <c r="C34" s="675"/>
      <c r="D34" s="675"/>
      <c r="E34" s="28"/>
      <c r="F34" s="46"/>
      <c r="G34" s="6"/>
      <c r="H34" s="6"/>
      <c r="I34" s="159"/>
      <c r="J34" s="46"/>
      <c r="K34" s="51"/>
      <c r="L34" s="51"/>
      <c r="N34" s="51"/>
      <c r="O34" s="51"/>
    </row>
    <row r="35" spans="1:15" s="5" customFormat="1" ht="15" customHeight="1" x14ac:dyDescent="0.35">
      <c r="A35" s="674"/>
      <c r="B35" s="6" t="s">
        <v>194</v>
      </c>
      <c r="C35" s="6" t="s">
        <v>127</v>
      </c>
      <c r="D35" s="6" t="s">
        <v>441</v>
      </c>
      <c r="E35" s="28"/>
      <c r="F35" s="46"/>
      <c r="G35" s="6"/>
      <c r="H35" s="6"/>
      <c r="I35" s="159"/>
      <c r="J35" s="46"/>
      <c r="K35" s="51"/>
      <c r="L35" s="51"/>
      <c r="N35" s="51"/>
      <c r="O35" s="51"/>
    </row>
    <row r="36" spans="1:15" s="3" customFormat="1" ht="14.9" customHeight="1" x14ac:dyDescent="0.35">
      <c r="A36" t="s">
        <v>71</v>
      </c>
      <c r="B36" s="287">
        <v>40.905000000000001</v>
      </c>
      <c r="C36" s="287">
        <v>45.458890000000004</v>
      </c>
      <c r="D36" s="16">
        <f>C36/B36</f>
        <v>1.1113284439555067</v>
      </c>
      <c r="E36" s="99"/>
      <c r="F36" s="99"/>
      <c r="G36" s="13"/>
      <c r="H36" s="22"/>
      <c r="I36" s="13"/>
      <c r="J36" s="4"/>
      <c r="K36" s="25"/>
      <c r="L36" s="14"/>
    </row>
    <row r="37" spans="1:15" x14ac:dyDescent="0.35">
      <c r="A37" t="s">
        <v>72</v>
      </c>
      <c r="B37" s="287">
        <v>81.692000000000007</v>
      </c>
      <c r="C37" s="287">
        <v>100.38490999999999</v>
      </c>
      <c r="D37" s="16">
        <f t="shared" ref="D37:D62" si="12">C37/B37</f>
        <v>1.2288217940557213</v>
      </c>
      <c r="E37" s="99"/>
      <c r="F37" s="99"/>
      <c r="G37" s="13"/>
      <c r="H37" s="22"/>
      <c r="I37" s="13"/>
      <c r="J37" s="4"/>
      <c r="K37" s="26"/>
      <c r="L37" s="73"/>
    </row>
    <row r="38" spans="1:15" x14ac:dyDescent="0.35">
      <c r="A38" t="s">
        <v>73</v>
      </c>
      <c r="B38" s="287">
        <v>183.56899999999999</v>
      </c>
      <c r="C38" s="287">
        <v>335.73921999999993</v>
      </c>
      <c r="D38" s="16">
        <f t="shared" si="12"/>
        <v>1.8289537993887854</v>
      </c>
      <c r="E38" s="99"/>
      <c r="F38" s="99"/>
      <c r="G38" s="13"/>
      <c r="H38" s="22"/>
      <c r="I38" s="13"/>
      <c r="J38" s="4"/>
      <c r="L38" s="72"/>
    </row>
    <row r="39" spans="1:15" x14ac:dyDescent="0.35">
      <c r="A39" t="s">
        <v>74</v>
      </c>
      <c r="B39" s="287">
        <v>96.224000000000004</v>
      </c>
      <c r="C39" s="287">
        <v>119.07458999999994</v>
      </c>
      <c r="D39" s="16">
        <f t="shared" si="12"/>
        <v>1.237472875789823</v>
      </c>
      <c r="E39" s="99"/>
      <c r="F39" s="99"/>
      <c r="G39" s="13"/>
      <c r="H39" s="22"/>
      <c r="I39" s="13"/>
      <c r="J39" s="4"/>
      <c r="L39" s="27"/>
    </row>
    <row r="40" spans="1:15" x14ac:dyDescent="0.35">
      <c r="A40" t="s">
        <v>75</v>
      </c>
      <c r="B40" s="287">
        <v>42.884999999999991</v>
      </c>
      <c r="C40" s="287">
        <v>61.534469999999978</v>
      </c>
      <c r="D40" s="16">
        <f t="shared" si="12"/>
        <v>1.434871633438265</v>
      </c>
      <c r="E40" s="99"/>
      <c r="F40" s="99"/>
      <c r="G40" s="13"/>
      <c r="H40" s="22"/>
      <c r="I40" s="13"/>
      <c r="J40" s="4"/>
      <c r="L40" s="27"/>
    </row>
    <row r="41" spans="1:15" x14ac:dyDescent="0.35">
      <c r="A41" t="s">
        <v>76</v>
      </c>
      <c r="B41" s="287"/>
      <c r="C41" s="287"/>
      <c r="D41" s="16"/>
      <c r="E41" s="99"/>
      <c r="F41" s="99"/>
      <c r="G41" s="13"/>
      <c r="H41" s="22"/>
      <c r="I41" s="13"/>
      <c r="J41" s="4"/>
      <c r="L41" s="27"/>
    </row>
    <row r="42" spans="1:15" x14ac:dyDescent="0.35">
      <c r="A42" t="s">
        <v>77</v>
      </c>
      <c r="B42" s="287">
        <v>46.510999999999996</v>
      </c>
      <c r="C42" s="287">
        <v>55.228469999999994</v>
      </c>
      <c r="D42" s="16">
        <f t="shared" si="12"/>
        <v>1.1874281352798262</v>
      </c>
      <c r="E42" s="99"/>
      <c r="F42" s="99"/>
      <c r="G42" s="13"/>
      <c r="H42" s="22"/>
      <c r="I42" s="13"/>
      <c r="J42" s="4"/>
      <c r="L42" s="27"/>
    </row>
    <row r="43" spans="1:15" x14ac:dyDescent="0.35">
      <c r="A43" t="s">
        <v>78</v>
      </c>
      <c r="B43" s="287">
        <v>1110.6740000000018</v>
      </c>
      <c r="C43" s="287">
        <v>1958.2065700000023</v>
      </c>
      <c r="D43" s="16">
        <f t="shared" si="12"/>
        <v>1.7630795084786348</v>
      </c>
      <c r="E43" s="99"/>
      <c r="F43" s="99"/>
      <c r="G43" s="13"/>
      <c r="H43" s="22"/>
      <c r="I43" s="13"/>
      <c r="J43" s="4"/>
      <c r="L43" s="27"/>
    </row>
    <row r="44" spans="1:15" x14ac:dyDescent="0.35">
      <c r="A44" t="s">
        <v>79</v>
      </c>
      <c r="B44" s="287">
        <v>126.52099999999999</v>
      </c>
      <c r="C44" s="287">
        <v>188.73113000000018</v>
      </c>
      <c r="D44" s="16">
        <f t="shared" si="12"/>
        <v>1.4916980580298937</v>
      </c>
      <c r="E44" s="99"/>
      <c r="F44" s="99"/>
      <c r="G44" s="13"/>
      <c r="H44" s="22"/>
      <c r="I44" s="13"/>
      <c r="J44" s="4"/>
      <c r="L44" s="27"/>
    </row>
    <row r="45" spans="1:15" x14ac:dyDescent="0.35">
      <c r="A45" t="s">
        <v>80</v>
      </c>
      <c r="B45" s="287">
        <v>64.149999999999991</v>
      </c>
      <c r="C45" s="287">
        <v>72.742110000000011</v>
      </c>
      <c r="D45" s="16">
        <f t="shared" si="12"/>
        <v>1.1339378020265007</v>
      </c>
      <c r="E45" s="99"/>
      <c r="F45" s="99"/>
      <c r="G45" s="13"/>
      <c r="H45" s="22"/>
      <c r="I45" s="13"/>
      <c r="J45" s="4"/>
      <c r="L45" s="27"/>
    </row>
    <row r="46" spans="1:15" x14ac:dyDescent="0.35">
      <c r="A46" t="s">
        <v>81</v>
      </c>
      <c r="B46" s="287">
        <v>123.51800000000004</v>
      </c>
      <c r="C46" s="287">
        <v>181.77202999999994</v>
      </c>
      <c r="D46" s="16">
        <f t="shared" si="12"/>
        <v>1.4716238119140521</v>
      </c>
      <c r="E46" s="99"/>
      <c r="F46" s="99"/>
      <c r="G46" s="13"/>
      <c r="H46" s="22"/>
      <c r="I46" s="13"/>
      <c r="J46" s="4"/>
      <c r="L46" s="27"/>
    </row>
    <row r="47" spans="1:15" x14ac:dyDescent="0.35">
      <c r="A47" t="s">
        <v>82</v>
      </c>
      <c r="B47" s="287">
        <v>844.74499999999875</v>
      </c>
      <c r="C47" s="287">
        <v>1816.7243800000017</v>
      </c>
      <c r="D47" s="16">
        <f t="shared" si="12"/>
        <v>2.150618683744804</v>
      </c>
      <c r="E47" s="99"/>
      <c r="F47" s="99"/>
      <c r="G47" s="13"/>
      <c r="H47" s="22"/>
      <c r="I47" s="13"/>
      <c r="J47" s="4"/>
      <c r="L47" s="27"/>
    </row>
    <row r="48" spans="1:15" x14ac:dyDescent="0.35">
      <c r="A48" t="s">
        <v>83</v>
      </c>
      <c r="B48" s="287">
        <v>70.063999999999993</v>
      </c>
      <c r="C48" s="287">
        <v>103.23629000000001</v>
      </c>
      <c r="D48" s="16">
        <f t="shared" si="12"/>
        <v>1.4734569821877144</v>
      </c>
      <c r="E48" s="99"/>
      <c r="F48" s="99"/>
      <c r="G48" s="13"/>
      <c r="H48" s="22"/>
      <c r="I48" s="13"/>
      <c r="J48" s="4"/>
      <c r="L48" s="27"/>
    </row>
    <row r="49" spans="1:12" x14ac:dyDescent="0.35">
      <c r="A49" t="s">
        <v>84</v>
      </c>
      <c r="B49" s="287">
        <v>40.891999999999996</v>
      </c>
      <c r="C49" s="287">
        <v>57.547020000000003</v>
      </c>
      <c r="D49" s="16">
        <f t="shared" si="12"/>
        <v>1.4072928690208355</v>
      </c>
      <c r="E49" s="99"/>
      <c r="F49" s="99"/>
      <c r="G49" s="13"/>
      <c r="H49" s="22"/>
      <c r="I49" s="13"/>
      <c r="J49" s="4"/>
      <c r="L49" s="27"/>
    </row>
    <row r="50" spans="1:12" x14ac:dyDescent="0.35">
      <c r="A50" t="s">
        <v>85</v>
      </c>
      <c r="B50" s="287">
        <v>33.799000000000007</v>
      </c>
      <c r="C50" s="287">
        <v>36.218540000000004</v>
      </c>
      <c r="D50" s="16">
        <f t="shared" si="12"/>
        <v>1.0715861416018224</v>
      </c>
      <c r="E50" s="99"/>
      <c r="F50" s="99"/>
      <c r="G50" s="13"/>
      <c r="H50" s="22"/>
      <c r="I50" s="13"/>
      <c r="J50" s="4"/>
      <c r="L50" s="27"/>
    </row>
    <row r="51" spans="1:12" x14ac:dyDescent="0.35">
      <c r="A51" t="s">
        <v>86</v>
      </c>
      <c r="B51" s="287">
        <v>28.552000000000014</v>
      </c>
      <c r="C51" s="287">
        <v>34.408560000000008</v>
      </c>
      <c r="D51" s="16">
        <f t="shared" si="12"/>
        <v>1.2051190809750627</v>
      </c>
      <c r="E51" s="99"/>
      <c r="F51" s="99"/>
      <c r="G51" s="13"/>
      <c r="H51" s="22"/>
      <c r="I51" s="13"/>
      <c r="J51" s="4"/>
      <c r="L51" s="27"/>
    </row>
    <row r="52" spans="1:12" x14ac:dyDescent="0.35">
      <c r="A52" t="s">
        <v>87</v>
      </c>
      <c r="B52" s="287">
        <v>92.342000000000013</v>
      </c>
      <c r="C52" s="287">
        <v>147.40287999999995</v>
      </c>
      <c r="D52" s="16">
        <f t="shared" si="12"/>
        <v>1.5962712525178135</v>
      </c>
      <c r="E52" s="99"/>
      <c r="F52" s="99"/>
      <c r="G52" s="13"/>
      <c r="H52" s="22"/>
      <c r="I52" s="13"/>
      <c r="J52" s="4"/>
      <c r="L52" s="27"/>
    </row>
    <row r="53" spans="1:12" x14ac:dyDescent="0.35">
      <c r="A53" t="s">
        <v>88</v>
      </c>
      <c r="B53" s="287"/>
      <c r="C53" s="287"/>
      <c r="D53" s="16"/>
      <c r="E53" s="99"/>
      <c r="F53" s="99"/>
      <c r="G53" s="13"/>
      <c r="H53" s="22"/>
      <c r="I53" s="13"/>
      <c r="J53" s="4"/>
    </row>
    <row r="54" spans="1:12" x14ac:dyDescent="0.35">
      <c r="A54" t="s">
        <v>233</v>
      </c>
      <c r="B54" s="287">
        <v>486.45899999999966</v>
      </c>
      <c r="C54" s="287">
        <v>806.82928000000072</v>
      </c>
      <c r="D54" s="16">
        <f t="shared" si="12"/>
        <v>1.6585761184395833</v>
      </c>
      <c r="E54" s="99"/>
      <c r="F54" s="99"/>
      <c r="G54" s="13"/>
      <c r="H54" s="22"/>
      <c r="I54" s="13"/>
      <c r="J54" s="4"/>
      <c r="L54" s="27"/>
    </row>
    <row r="55" spans="1:12" x14ac:dyDescent="0.35">
      <c r="A55" t="s">
        <v>90</v>
      </c>
      <c r="B55" s="287"/>
      <c r="C55" s="287"/>
      <c r="D55" s="16"/>
      <c r="E55" s="99"/>
      <c r="F55" s="99"/>
      <c r="G55" s="13"/>
      <c r="H55" s="22"/>
      <c r="I55" s="13"/>
      <c r="J55" s="4"/>
      <c r="L55" s="27"/>
    </row>
    <row r="56" spans="1:12" x14ac:dyDescent="0.35">
      <c r="A56" t="s">
        <v>91</v>
      </c>
      <c r="B56" s="287">
        <v>29.152999999999995</v>
      </c>
      <c r="C56" s="287">
        <v>32.519170000000003</v>
      </c>
      <c r="D56" s="16">
        <f t="shared" si="12"/>
        <v>1.1154656467601964</v>
      </c>
      <c r="E56" s="99"/>
      <c r="F56" s="99"/>
      <c r="G56" s="13"/>
      <c r="H56" s="22"/>
      <c r="I56" s="13"/>
      <c r="J56" s="4"/>
      <c r="L56" s="27"/>
    </row>
    <row r="57" spans="1:12" x14ac:dyDescent="0.35">
      <c r="A57" t="s">
        <v>92</v>
      </c>
      <c r="B57" s="287">
        <v>62.155999999999999</v>
      </c>
      <c r="C57" s="287">
        <v>75.353400000000008</v>
      </c>
      <c r="D57" s="16">
        <f t="shared" si="12"/>
        <v>1.2123270480725916</v>
      </c>
      <c r="E57" s="99"/>
      <c r="F57" s="99"/>
      <c r="G57" s="13"/>
      <c r="H57" s="22"/>
      <c r="I57" s="13"/>
      <c r="J57" s="4"/>
      <c r="L57" s="27"/>
    </row>
    <row r="58" spans="1:12" x14ac:dyDescent="0.35">
      <c r="A58" t="s">
        <v>93</v>
      </c>
      <c r="B58" s="287"/>
      <c r="C58" s="287"/>
      <c r="D58" s="16"/>
      <c r="E58" s="99"/>
      <c r="F58" s="99"/>
      <c r="G58" s="13"/>
      <c r="H58" s="22"/>
      <c r="I58" s="13"/>
      <c r="J58" s="4"/>
      <c r="L58" s="27"/>
    </row>
    <row r="59" spans="1:12" x14ac:dyDescent="0.35">
      <c r="A59" t="s">
        <v>94</v>
      </c>
      <c r="B59" s="287">
        <v>81.694999999999979</v>
      </c>
      <c r="C59" s="287">
        <v>100.20887999999999</v>
      </c>
      <c r="D59" s="16">
        <f t="shared" si="12"/>
        <v>1.2266219474876066</v>
      </c>
      <c r="E59" s="99"/>
      <c r="F59" s="99"/>
      <c r="G59" s="13"/>
      <c r="H59" s="22"/>
      <c r="I59" s="13"/>
      <c r="J59" s="4"/>
      <c r="L59" s="27"/>
    </row>
    <row r="60" spans="1:12" x14ac:dyDescent="0.35">
      <c r="A60" t="s">
        <v>95</v>
      </c>
      <c r="B60" s="287">
        <v>22.89</v>
      </c>
      <c r="C60" s="287">
        <v>26.204830000000001</v>
      </c>
      <c r="D60" s="16">
        <f t="shared" si="12"/>
        <v>1.1448156400174749</v>
      </c>
      <c r="E60" s="99"/>
      <c r="F60" s="99"/>
      <c r="G60" s="13"/>
      <c r="H60" s="22"/>
      <c r="I60" s="13"/>
      <c r="J60" s="4"/>
      <c r="L60" s="27"/>
    </row>
    <row r="61" spans="1:12" x14ac:dyDescent="0.35">
      <c r="A61" s="278" t="s">
        <v>96</v>
      </c>
      <c r="B61" s="284">
        <f>B40+B45+B46</f>
        <v>230.55300000000003</v>
      </c>
      <c r="C61" s="284">
        <f>C40+C45+C46</f>
        <v>316.04860999999994</v>
      </c>
      <c r="D61" s="285">
        <f t="shared" si="12"/>
        <v>1.37082844291768</v>
      </c>
      <c r="E61" s="284"/>
      <c r="F61" s="99"/>
      <c r="G61" s="13"/>
      <c r="H61" s="22"/>
      <c r="I61" s="13"/>
      <c r="J61" s="4"/>
      <c r="L61" s="27"/>
    </row>
    <row r="62" spans="1:12" x14ac:dyDescent="0.35">
      <c r="A62" t="s">
        <v>99</v>
      </c>
      <c r="B62" s="287">
        <v>3508.0949999999998</v>
      </c>
      <c r="C62" s="287">
        <v>3946.2507400000013</v>
      </c>
      <c r="D62" s="16">
        <f t="shared" si="12"/>
        <v>1.1248984819396286</v>
      </c>
      <c r="E62" s="99"/>
      <c r="F62" s="99"/>
      <c r="G62" s="13"/>
      <c r="H62" s="22"/>
      <c r="I62" s="13"/>
      <c r="J62" s="4"/>
      <c r="L62" s="27"/>
    </row>
    <row r="63" spans="1:12" s="32" customFormat="1" x14ac:dyDescent="0.35">
      <c r="B63" s="41"/>
      <c r="F63" s="42"/>
      <c r="G63" s="40"/>
      <c r="H63" s="29"/>
      <c r="I63" s="30"/>
      <c r="K63" s="41"/>
    </row>
  </sheetData>
  <mergeCells count="8">
    <mergeCell ref="A34:A35"/>
    <mergeCell ref="B34:D34"/>
    <mergeCell ref="B2:I2"/>
    <mergeCell ref="J2:O2"/>
    <mergeCell ref="B3:E3"/>
    <mergeCell ref="F3:I3"/>
    <mergeCell ref="J3:L3"/>
    <mergeCell ref="M3:O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FBFCE-EB02-41D1-8869-C2B442EB8F54}">
  <sheetPr>
    <tabColor rgb="FF00B050"/>
  </sheetPr>
  <dimension ref="A1:R63"/>
  <sheetViews>
    <sheetView topLeftCell="A31" workbookViewId="0">
      <selection activeCell="D36" sqref="D36"/>
    </sheetView>
  </sheetViews>
  <sheetFormatPr defaultColWidth="8.7265625" defaultRowHeight="14.5" x14ac:dyDescent="0.35"/>
  <cols>
    <col min="1" max="1" width="23.26953125" bestFit="1" customWidth="1"/>
    <col min="2" max="2" width="18.7265625" bestFit="1" customWidth="1"/>
    <col min="3" max="3" width="17.26953125" bestFit="1" customWidth="1"/>
    <col min="4" max="4" width="17.453125" bestFit="1" customWidth="1"/>
    <col min="5" max="5" width="14.7265625" bestFit="1" customWidth="1"/>
    <col min="6" max="6" width="16.26953125" bestFit="1" customWidth="1"/>
    <col min="7" max="7" width="17.26953125" bestFit="1" customWidth="1"/>
    <col min="8" max="8" width="16.7265625" bestFit="1" customWidth="1"/>
    <col min="9" max="9" width="15.7265625" customWidth="1"/>
    <col min="10" max="10" width="14.26953125" customWidth="1"/>
    <col min="11" max="12" width="15.7265625" customWidth="1"/>
    <col min="13" max="13" width="14.26953125" customWidth="1"/>
    <col min="14" max="15" width="15.7265625" customWidth="1"/>
  </cols>
  <sheetData>
    <row r="1" spans="1:15" s="32" customFormat="1" x14ac:dyDescent="0.35">
      <c r="B1" s="40"/>
      <c r="C1" s="40"/>
      <c r="D1" s="40"/>
      <c r="E1" s="30"/>
      <c r="F1" s="40"/>
      <c r="G1" s="40"/>
      <c r="H1" s="29"/>
      <c r="I1" s="30"/>
    </row>
    <row r="2" spans="1:15" s="5" customFormat="1" x14ac:dyDescent="0.35">
      <c r="B2" s="676" t="s">
        <v>445</v>
      </c>
      <c r="C2" s="676"/>
      <c r="D2" s="676"/>
      <c r="E2" s="676"/>
      <c r="F2" s="676"/>
      <c r="G2" s="676"/>
      <c r="H2" s="676"/>
      <c r="I2" s="676"/>
      <c r="J2" s="676" t="s">
        <v>446</v>
      </c>
      <c r="K2" s="676"/>
      <c r="L2" s="676"/>
      <c r="M2" s="676"/>
      <c r="N2" s="676"/>
      <c r="O2" s="676"/>
    </row>
    <row r="3" spans="1:15" s="6" customFormat="1" x14ac:dyDescent="0.35">
      <c r="A3" s="157" t="s">
        <v>128</v>
      </c>
      <c r="B3" s="676" t="s">
        <v>434</v>
      </c>
      <c r="C3" s="676"/>
      <c r="D3" s="676"/>
      <c r="E3" s="676"/>
      <c r="F3" s="676" t="s">
        <v>435</v>
      </c>
      <c r="G3" s="676"/>
      <c r="H3" s="676"/>
      <c r="I3" s="676"/>
      <c r="J3" s="676" t="s">
        <v>434</v>
      </c>
      <c r="K3" s="676"/>
      <c r="L3" s="676"/>
      <c r="M3" s="676" t="s">
        <v>435</v>
      </c>
      <c r="N3" s="676"/>
      <c r="O3" s="676"/>
    </row>
    <row r="4" spans="1:15" s="6" customFormat="1" ht="29.9" customHeight="1" x14ac:dyDescent="0.35">
      <c r="A4" s="157"/>
      <c r="B4" s="28" t="s">
        <v>436</v>
      </c>
      <c r="C4" s="28" t="s">
        <v>437</v>
      </c>
      <c r="D4" s="28" t="s">
        <v>438</v>
      </c>
      <c r="E4" s="28" t="s">
        <v>129</v>
      </c>
      <c r="F4" s="28" t="s">
        <v>436</v>
      </c>
      <c r="G4" s="28" t="s">
        <v>437</v>
      </c>
      <c r="H4" s="28" t="s">
        <v>438</v>
      </c>
      <c r="I4" s="28" t="s">
        <v>129</v>
      </c>
      <c r="J4" s="28" t="s">
        <v>160</v>
      </c>
      <c r="K4" s="28" t="s">
        <v>159</v>
      </c>
      <c r="L4" s="28" t="s">
        <v>161</v>
      </c>
      <c r="M4" s="28" t="s">
        <v>160</v>
      </c>
      <c r="N4" s="28" t="s">
        <v>159</v>
      </c>
      <c r="O4" s="28" t="s">
        <v>161</v>
      </c>
    </row>
    <row r="5" spans="1:15" x14ac:dyDescent="0.35">
      <c r="A5" t="s">
        <v>71</v>
      </c>
      <c r="B5" s="76">
        <f>J5*365</f>
        <v>0</v>
      </c>
      <c r="C5" s="76">
        <f>K5*365</f>
        <v>287744465</v>
      </c>
      <c r="D5" s="76">
        <f>L5*365</f>
        <v>287744465</v>
      </c>
      <c r="E5" s="154">
        <f>C5/D5</f>
        <v>1</v>
      </c>
      <c r="F5" s="76">
        <f t="shared" ref="F5:F21" si="0">M5*365</f>
        <v>34839250</v>
      </c>
      <c r="G5" s="76">
        <f t="shared" ref="G5:H20" si="1">N5*365</f>
        <v>647496860</v>
      </c>
      <c r="H5" s="76">
        <f t="shared" si="1"/>
        <v>682336110</v>
      </c>
      <c r="I5" s="154">
        <f>G5/H5</f>
        <v>0.94894121901301687</v>
      </c>
      <c r="J5" s="274">
        <v>0</v>
      </c>
      <c r="K5" s="275">
        <v>788341</v>
      </c>
      <c r="L5" s="97">
        <f>+SUM(J5:K5)</f>
        <v>788341</v>
      </c>
      <c r="M5" s="275">
        <v>95450</v>
      </c>
      <c r="N5" s="275">
        <v>1773964</v>
      </c>
      <c r="O5" s="97">
        <f>+SUM(M5:N5)</f>
        <v>1869414</v>
      </c>
    </row>
    <row r="6" spans="1:15" x14ac:dyDescent="0.35">
      <c r="A6" t="s">
        <v>72</v>
      </c>
      <c r="B6" s="76">
        <f t="shared" ref="B6:D32" si="2">J6*365</f>
        <v>0</v>
      </c>
      <c r="C6" s="76">
        <f t="shared" si="2"/>
        <v>800299365</v>
      </c>
      <c r="D6" s="76">
        <f t="shared" si="2"/>
        <v>800299365</v>
      </c>
      <c r="E6" s="154">
        <f t="shared" ref="E6:E32" si="3">C6/D6</f>
        <v>1</v>
      </c>
      <c r="F6" s="76">
        <f t="shared" si="0"/>
        <v>29460610</v>
      </c>
      <c r="G6" s="76">
        <f t="shared" si="1"/>
        <v>659031590</v>
      </c>
      <c r="H6" s="76">
        <f t="shared" si="1"/>
        <v>688492200</v>
      </c>
      <c r="I6" s="154">
        <f t="shared" ref="I6:I32" si="4">G6/H6</f>
        <v>0.95720995822465382</v>
      </c>
      <c r="J6" s="274">
        <v>0</v>
      </c>
      <c r="K6" s="275">
        <v>2192601</v>
      </c>
      <c r="L6" s="97">
        <f t="shared" ref="L6:L30" si="5">+SUM(J6:K6)</f>
        <v>2192601</v>
      </c>
      <c r="M6" s="275">
        <v>80714</v>
      </c>
      <c r="N6" s="275">
        <v>1805566</v>
      </c>
      <c r="O6" s="97">
        <f t="shared" ref="O6:O31" si="6">+SUM(M6:N6)</f>
        <v>1886280</v>
      </c>
    </row>
    <row r="7" spans="1:15" x14ac:dyDescent="0.35">
      <c r="A7" t="s">
        <v>73</v>
      </c>
      <c r="B7" s="76">
        <f t="shared" si="2"/>
        <v>1636035485</v>
      </c>
      <c r="C7" s="76">
        <f t="shared" si="2"/>
        <v>4910120160</v>
      </c>
      <c r="D7" s="76">
        <f t="shared" si="2"/>
        <v>6546155645</v>
      </c>
      <c r="E7" s="154">
        <f t="shared" si="3"/>
        <v>0.7500769041063643</v>
      </c>
      <c r="F7" s="76">
        <f t="shared" si="0"/>
        <v>3010784625</v>
      </c>
      <c r="G7" s="76">
        <f t="shared" si="1"/>
        <v>10654424095</v>
      </c>
      <c r="H7" s="76">
        <f t="shared" si="1"/>
        <v>13665208720</v>
      </c>
      <c r="I7" s="154">
        <f t="shared" si="4"/>
        <v>0.77967518193897001</v>
      </c>
      <c r="J7" s="275">
        <v>4482289</v>
      </c>
      <c r="K7" s="275">
        <v>13452384</v>
      </c>
      <c r="L7" s="97">
        <f t="shared" si="5"/>
        <v>17934673</v>
      </c>
      <c r="M7" s="275">
        <v>8248725</v>
      </c>
      <c r="N7" s="275">
        <v>29190203</v>
      </c>
      <c r="O7" s="97">
        <f t="shared" si="6"/>
        <v>37438928</v>
      </c>
    </row>
    <row r="8" spans="1:15" x14ac:dyDescent="0.35">
      <c r="A8" t="s">
        <v>74</v>
      </c>
      <c r="B8" s="76">
        <f t="shared" si="2"/>
        <v>14461665</v>
      </c>
      <c r="C8" s="76">
        <f t="shared" si="2"/>
        <v>1634489345</v>
      </c>
      <c r="D8" s="76">
        <f t="shared" si="2"/>
        <v>1648951010</v>
      </c>
      <c r="E8" s="154">
        <f t="shared" si="3"/>
        <v>0.99122977886407915</v>
      </c>
      <c r="F8" s="76">
        <f t="shared" si="0"/>
        <v>248742025</v>
      </c>
      <c r="G8" s="76">
        <f t="shared" si="1"/>
        <v>2422369585</v>
      </c>
      <c r="H8" s="76">
        <f t="shared" si="1"/>
        <v>2671111610</v>
      </c>
      <c r="I8" s="154">
        <f t="shared" si="4"/>
        <v>0.90687696310825439</v>
      </c>
      <c r="J8" s="275">
        <v>39621</v>
      </c>
      <c r="K8" s="275">
        <v>4478053</v>
      </c>
      <c r="L8" s="97">
        <f t="shared" si="5"/>
        <v>4517674</v>
      </c>
      <c r="M8" s="275">
        <v>681485</v>
      </c>
      <c r="N8" s="275">
        <v>6636629</v>
      </c>
      <c r="O8" s="97">
        <f t="shared" si="6"/>
        <v>7318114</v>
      </c>
    </row>
    <row r="9" spans="1:15" x14ac:dyDescent="0.35">
      <c r="A9" t="s">
        <v>75</v>
      </c>
      <c r="B9" s="76">
        <f t="shared" si="2"/>
        <v>10118530</v>
      </c>
      <c r="C9" s="76">
        <f t="shared" si="2"/>
        <v>590209745</v>
      </c>
      <c r="D9" s="76">
        <f t="shared" si="2"/>
        <v>600328275</v>
      </c>
      <c r="E9" s="154">
        <f t="shared" si="3"/>
        <v>0.98314500512240577</v>
      </c>
      <c r="F9" s="76">
        <f t="shared" si="0"/>
        <v>124093795</v>
      </c>
      <c r="G9" s="76">
        <f t="shared" si="1"/>
        <v>627819345</v>
      </c>
      <c r="H9" s="76">
        <f t="shared" si="1"/>
        <v>751913140</v>
      </c>
      <c r="I9" s="154">
        <f t="shared" si="4"/>
        <v>0.83496259288672625</v>
      </c>
      <c r="J9" s="275">
        <v>27722</v>
      </c>
      <c r="K9" s="275">
        <v>1617013</v>
      </c>
      <c r="L9" s="97">
        <f t="shared" si="5"/>
        <v>1644735</v>
      </c>
      <c r="M9" s="275">
        <v>339983</v>
      </c>
      <c r="N9" s="275">
        <v>1720053</v>
      </c>
      <c r="O9" s="97">
        <f t="shared" si="6"/>
        <v>2060036</v>
      </c>
    </row>
    <row r="10" spans="1:15" x14ac:dyDescent="0.35">
      <c r="A10" t="s">
        <v>76</v>
      </c>
      <c r="B10" s="76">
        <f t="shared" si="2"/>
        <v>0</v>
      </c>
      <c r="C10" s="76">
        <f t="shared" si="2"/>
        <v>0</v>
      </c>
      <c r="D10" s="76"/>
      <c r="E10" s="154"/>
      <c r="F10" s="76">
        <f t="shared" si="0"/>
        <v>132243880</v>
      </c>
      <c r="G10" s="76">
        <f t="shared" si="1"/>
        <v>1347767975</v>
      </c>
      <c r="H10" s="76">
        <f t="shared" si="1"/>
        <v>1480011855</v>
      </c>
      <c r="I10" s="154">
        <f t="shared" si="4"/>
        <v>0.91064674275869228</v>
      </c>
      <c r="J10" s="274">
        <v>0</v>
      </c>
      <c r="K10" s="274">
        <v>0</v>
      </c>
      <c r="L10" s="97"/>
      <c r="M10" s="275">
        <v>362312</v>
      </c>
      <c r="N10" s="275">
        <v>3692515</v>
      </c>
      <c r="O10" s="97">
        <f t="shared" si="6"/>
        <v>4054827</v>
      </c>
    </row>
    <row r="11" spans="1:15" x14ac:dyDescent="0.35">
      <c r="A11" t="s">
        <v>77</v>
      </c>
      <c r="B11" s="76">
        <f t="shared" si="2"/>
        <v>0</v>
      </c>
      <c r="C11" s="76">
        <f t="shared" si="2"/>
        <v>643513615</v>
      </c>
      <c r="D11" s="76">
        <f t="shared" si="2"/>
        <v>643513615</v>
      </c>
      <c r="E11" s="154">
        <f t="shared" si="3"/>
        <v>1</v>
      </c>
      <c r="F11" s="76">
        <f t="shared" si="0"/>
        <v>185828435</v>
      </c>
      <c r="G11" s="76">
        <f t="shared" si="1"/>
        <v>2308154515</v>
      </c>
      <c r="H11" s="76">
        <f t="shared" si="1"/>
        <v>2493982950</v>
      </c>
      <c r="I11" s="154">
        <f t="shared" si="4"/>
        <v>0.92548929213810383</v>
      </c>
      <c r="J11" s="274">
        <v>0</v>
      </c>
      <c r="K11" s="275">
        <v>1763051</v>
      </c>
      <c r="L11" s="97">
        <f t="shared" si="5"/>
        <v>1763051</v>
      </c>
      <c r="M11" s="275">
        <v>509119</v>
      </c>
      <c r="N11" s="275">
        <v>6323711</v>
      </c>
      <c r="O11" s="97">
        <f t="shared" si="6"/>
        <v>6832830</v>
      </c>
    </row>
    <row r="12" spans="1:15" x14ac:dyDescent="0.35">
      <c r="A12" t="s">
        <v>78</v>
      </c>
      <c r="B12" s="76">
        <f t="shared" si="2"/>
        <v>6732233740</v>
      </c>
      <c r="C12" s="76">
        <f t="shared" si="2"/>
        <v>26423650860</v>
      </c>
      <c r="D12" s="76">
        <f t="shared" si="2"/>
        <v>33155884600</v>
      </c>
      <c r="E12" s="154">
        <f t="shared" si="3"/>
        <v>0.79695206985971956</v>
      </c>
      <c r="F12" s="76">
        <f t="shared" si="0"/>
        <v>10446098885</v>
      </c>
      <c r="G12" s="76">
        <f t="shared" si="1"/>
        <v>32548896535</v>
      </c>
      <c r="H12" s="76">
        <f t="shared" si="1"/>
        <v>42994995420</v>
      </c>
      <c r="I12" s="154">
        <f t="shared" si="4"/>
        <v>0.75703919065564584</v>
      </c>
      <c r="J12" s="275">
        <v>18444476</v>
      </c>
      <c r="K12" s="275">
        <v>72393564</v>
      </c>
      <c r="L12" s="97">
        <f t="shared" si="5"/>
        <v>90838040</v>
      </c>
      <c r="M12" s="275">
        <v>28619449</v>
      </c>
      <c r="N12" s="275">
        <v>89175059</v>
      </c>
      <c r="O12" s="97">
        <f t="shared" si="6"/>
        <v>117794508</v>
      </c>
    </row>
    <row r="13" spans="1:15" x14ac:dyDescent="0.35">
      <c r="A13" t="s">
        <v>79</v>
      </c>
      <c r="B13" s="76">
        <f t="shared" si="2"/>
        <v>196515635</v>
      </c>
      <c r="C13" s="76">
        <f t="shared" si="2"/>
        <v>2458231930</v>
      </c>
      <c r="D13" s="76">
        <f t="shared" si="2"/>
        <v>2654747565</v>
      </c>
      <c r="E13" s="154">
        <f t="shared" si="3"/>
        <v>0.92597577351954363</v>
      </c>
      <c r="F13" s="76">
        <f t="shared" si="0"/>
        <v>651330820</v>
      </c>
      <c r="G13" s="76">
        <f t="shared" si="1"/>
        <v>3344288410</v>
      </c>
      <c r="H13" s="76">
        <f t="shared" si="1"/>
        <v>3995619230</v>
      </c>
      <c r="I13" s="154">
        <f t="shared" si="4"/>
        <v>0.83698876631945729</v>
      </c>
      <c r="J13" s="275">
        <v>538399</v>
      </c>
      <c r="K13" s="275">
        <v>6734882</v>
      </c>
      <c r="L13" s="97">
        <f t="shared" si="5"/>
        <v>7273281</v>
      </c>
      <c r="M13" s="275">
        <v>1784468</v>
      </c>
      <c r="N13" s="275">
        <v>9162434</v>
      </c>
      <c r="O13" s="97">
        <f t="shared" si="6"/>
        <v>10946902</v>
      </c>
    </row>
    <row r="14" spans="1:15" x14ac:dyDescent="0.35">
      <c r="A14" t="s">
        <v>80</v>
      </c>
      <c r="B14" s="76">
        <f t="shared" si="2"/>
        <v>0</v>
      </c>
      <c r="C14" s="76">
        <f t="shared" si="2"/>
        <v>823955015</v>
      </c>
      <c r="D14" s="76">
        <f t="shared" si="2"/>
        <v>823955015</v>
      </c>
      <c r="E14" s="154">
        <f t="shared" si="3"/>
        <v>1</v>
      </c>
      <c r="F14" s="76">
        <f t="shared" si="0"/>
        <v>49857540</v>
      </c>
      <c r="G14" s="76">
        <f t="shared" si="1"/>
        <v>313645230</v>
      </c>
      <c r="H14" s="76">
        <f t="shared" si="1"/>
        <v>363502770</v>
      </c>
      <c r="I14" s="154">
        <f t="shared" si="4"/>
        <v>0.86284137532156913</v>
      </c>
      <c r="J14" s="274">
        <v>0</v>
      </c>
      <c r="K14" s="275">
        <v>2257411</v>
      </c>
      <c r="L14" s="97">
        <f t="shared" si="5"/>
        <v>2257411</v>
      </c>
      <c r="M14" s="275">
        <v>136596</v>
      </c>
      <c r="N14" s="275">
        <v>859302</v>
      </c>
      <c r="O14" s="97">
        <f t="shared" si="6"/>
        <v>995898</v>
      </c>
    </row>
    <row r="15" spans="1:15" x14ac:dyDescent="0.35">
      <c r="A15" t="s">
        <v>81</v>
      </c>
      <c r="B15" s="76">
        <f t="shared" si="2"/>
        <v>198836305</v>
      </c>
      <c r="C15" s="76">
        <f t="shared" si="2"/>
        <v>1772909390</v>
      </c>
      <c r="D15" s="76">
        <f t="shared" si="2"/>
        <v>1971745695</v>
      </c>
      <c r="E15" s="154">
        <f t="shared" si="3"/>
        <v>0.89915722625680694</v>
      </c>
      <c r="F15" s="76">
        <f t="shared" si="0"/>
        <v>263968365</v>
      </c>
      <c r="G15" s="76">
        <f t="shared" si="1"/>
        <v>2637700605</v>
      </c>
      <c r="H15" s="76">
        <f t="shared" si="1"/>
        <v>2901668970</v>
      </c>
      <c r="I15" s="154">
        <f t="shared" si="4"/>
        <v>0.90902878042632129</v>
      </c>
      <c r="J15" s="275">
        <v>544757</v>
      </c>
      <c r="K15" s="275">
        <v>4857286</v>
      </c>
      <c r="L15" s="97">
        <f t="shared" si="5"/>
        <v>5402043</v>
      </c>
      <c r="M15" s="275">
        <v>723201</v>
      </c>
      <c r="N15" s="275">
        <v>7226577</v>
      </c>
      <c r="O15" s="97">
        <f t="shared" si="6"/>
        <v>7949778</v>
      </c>
    </row>
    <row r="16" spans="1:15" x14ac:dyDescent="0.35">
      <c r="A16" t="s">
        <v>82</v>
      </c>
      <c r="B16" s="76">
        <f t="shared" si="2"/>
        <v>10062566375</v>
      </c>
      <c r="C16" s="76">
        <f t="shared" si="2"/>
        <v>25121544020</v>
      </c>
      <c r="D16" s="76">
        <f t="shared" si="2"/>
        <v>35184110395</v>
      </c>
      <c r="E16" s="154">
        <f t="shared" si="3"/>
        <v>0.71400253517764123</v>
      </c>
      <c r="F16" s="76">
        <f t="shared" si="0"/>
        <v>5368845590</v>
      </c>
      <c r="G16" s="76">
        <f t="shared" si="1"/>
        <v>24328007375</v>
      </c>
      <c r="H16" s="76">
        <f t="shared" si="1"/>
        <v>29696852965</v>
      </c>
      <c r="I16" s="154">
        <f t="shared" si="4"/>
        <v>0.8192116317399829</v>
      </c>
      <c r="J16" s="275">
        <v>27568675</v>
      </c>
      <c r="K16" s="275">
        <v>68826148</v>
      </c>
      <c r="L16" s="97">
        <f t="shared" si="5"/>
        <v>96394823</v>
      </c>
      <c r="M16" s="275">
        <v>14709166</v>
      </c>
      <c r="N16" s="275">
        <v>66652075</v>
      </c>
      <c r="O16" s="97">
        <f t="shared" si="6"/>
        <v>81361241</v>
      </c>
    </row>
    <row r="17" spans="1:18" x14ac:dyDescent="0.35">
      <c r="A17" t="s">
        <v>83</v>
      </c>
      <c r="B17" s="76">
        <f t="shared" si="2"/>
        <v>11213530</v>
      </c>
      <c r="C17" s="76">
        <f t="shared" si="2"/>
        <v>2315905655</v>
      </c>
      <c r="D17" s="76">
        <f t="shared" si="2"/>
        <v>2327119185</v>
      </c>
      <c r="E17" s="154">
        <f t="shared" si="3"/>
        <v>0.99518136841796523</v>
      </c>
      <c r="F17" s="76">
        <f t="shared" si="0"/>
        <v>102989130</v>
      </c>
      <c r="G17" s="76">
        <f t="shared" si="1"/>
        <v>940076480</v>
      </c>
      <c r="H17" s="76">
        <f t="shared" si="1"/>
        <v>1043065610</v>
      </c>
      <c r="I17" s="154">
        <f t="shared" si="4"/>
        <v>0.90126303751879999</v>
      </c>
      <c r="J17" s="275">
        <v>30722</v>
      </c>
      <c r="K17" s="275">
        <v>6344947</v>
      </c>
      <c r="L17" s="97">
        <f t="shared" si="5"/>
        <v>6375669</v>
      </c>
      <c r="M17" s="275">
        <v>282162</v>
      </c>
      <c r="N17" s="275">
        <v>2575552</v>
      </c>
      <c r="O17" s="97">
        <f t="shared" si="6"/>
        <v>2857714</v>
      </c>
    </row>
    <row r="18" spans="1:18" x14ac:dyDescent="0.35">
      <c r="A18" t="s">
        <v>84</v>
      </c>
      <c r="B18" s="76">
        <f t="shared" si="2"/>
        <v>19707445</v>
      </c>
      <c r="C18" s="76">
        <f t="shared" si="2"/>
        <v>421131890</v>
      </c>
      <c r="D18" s="76">
        <f t="shared" si="2"/>
        <v>440839335</v>
      </c>
      <c r="E18" s="154">
        <f t="shared" si="3"/>
        <v>0.95529562941564639</v>
      </c>
      <c r="F18" s="76">
        <f t="shared" si="0"/>
        <v>94892335</v>
      </c>
      <c r="G18" s="76">
        <f t="shared" si="1"/>
        <v>716601215</v>
      </c>
      <c r="H18" s="76">
        <f t="shared" si="1"/>
        <v>811493550</v>
      </c>
      <c r="I18" s="154">
        <f t="shared" si="4"/>
        <v>0.88306458504814977</v>
      </c>
      <c r="J18" s="275">
        <v>53993</v>
      </c>
      <c r="K18" s="275">
        <v>1153786</v>
      </c>
      <c r="L18" s="97">
        <f t="shared" si="5"/>
        <v>1207779</v>
      </c>
      <c r="M18" s="275">
        <v>259979</v>
      </c>
      <c r="N18" s="275">
        <v>1963291</v>
      </c>
      <c r="O18" s="97">
        <f t="shared" si="6"/>
        <v>2223270</v>
      </c>
    </row>
    <row r="19" spans="1:18" x14ac:dyDescent="0.35">
      <c r="A19" t="s">
        <v>85</v>
      </c>
      <c r="B19" s="76">
        <f t="shared" si="2"/>
        <v>0</v>
      </c>
      <c r="C19" s="76">
        <f t="shared" si="2"/>
        <v>233843455</v>
      </c>
      <c r="D19" s="76">
        <f t="shared" si="2"/>
        <v>233843455</v>
      </c>
      <c r="E19" s="154">
        <f t="shared" si="3"/>
        <v>1</v>
      </c>
      <c r="F19" s="76">
        <f t="shared" si="0"/>
        <v>35676925</v>
      </c>
      <c r="G19" s="76">
        <f t="shared" si="1"/>
        <v>821752605</v>
      </c>
      <c r="H19" s="76">
        <f t="shared" si="1"/>
        <v>857429530</v>
      </c>
      <c r="I19" s="154">
        <f t="shared" si="4"/>
        <v>0.95839083708721817</v>
      </c>
      <c r="J19" s="274"/>
      <c r="K19" s="275">
        <v>640667</v>
      </c>
      <c r="L19" s="97">
        <f t="shared" si="5"/>
        <v>640667</v>
      </c>
      <c r="M19" s="275">
        <v>97745</v>
      </c>
      <c r="N19" s="275">
        <v>2251377</v>
      </c>
      <c r="O19" s="97">
        <f t="shared" si="6"/>
        <v>2349122</v>
      </c>
    </row>
    <row r="20" spans="1:18" x14ac:dyDescent="0.35">
      <c r="A20" t="s">
        <v>86</v>
      </c>
      <c r="B20" s="76">
        <f t="shared" si="2"/>
        <v>5840</v>
      </c>
      <c r="C20" s="76">
        <f t="shared" si="2"/>
        <v>253234080</v>
      </c>
      <c r="D20" s="76">
        <f t="shared" si="2"/>
        <v>253239920</v>
      </c>
      <c r="E20" s="154">
        <f t="shared" si="3"/>
        <v>0.99997693886493089</v>
      </c>
      <c r="F20" s="76">
        <f t="shared" si="0"/>
        <v>143997245</v>
      </c>
      <c r="G20" s="76">
        <f t="shared" si="1"/>
        <v>1667899620</v>
      </c>
      <c r="H20" s="76">
        <f t="shared" si="1"/>
        <v>1811896865</v>
      </c>
      <c r="I20" s="154">
        <f t="shared" si="4"/>
        <v>0.92052679830648088</v>
      </c>
      <c r="J20" s="274">
        <v>16</v>
      </c>
      <c r="K20" s="275">
        <v>693792</v>
      </c>
      <c r="L20" s="97">
        <f t="shared" si="5"/>
        <v>693808</v>
      </c>
      <c r="M20" s="275">
        <v>394513</v>
      </c>
      <c r="N20" s="275">
        <v>4569588</v>
      </c>
      <c r="O20" s="97">
        <f t="shared" si="6"/>
        <v>4964101</v>
      </c>
    </row>
    <row r="21" spans="1:18" x14ac:dyDescent="0.35">
      <c r="A21" t="s">
        <v>87</v>
      </c>
      <c r="B21" s="76">
        <f t="shared" si="2"/>
        <v>68471080</v>
      </c>
      <c r="C21" s="76">
        <f t="shared" si="2"/>
        <v>776955425</v>
      </c>
      <c r="D21" s="76">
        <f t="shared" si="2"/>
        <v>845426505</v>
      </c>
      <c r="E21" s="154">
        <f t="shared" si="3"/>
        <v>0.91901001495097434</v>
      </c>
      <c r="F21" s="76">
        <f t="shared" si="0"/>
        <v>81061390</v>
      </c>
      <c r="G21" s="76">
        <f>N21*365</f>
        <v>2004924195</v>
      </c>
      <c r="H21" s="76">
        <f>O21*365</f>
        <v>2085985585</v>
      </c>
      <c r="I21" s="154">
        <f t="shared" si="4"/>
        <v>0.96114000471388683</v>
      </c>
      <c r="J21" s="275">
        <v>187592</v>
      </c>
      <c r="K21" s="275">
        <v>2128645</v>
      </c>
      <c r="L21" s="97">
        <f t="shared" si="5"/>
        <v>2316237</v>
      </c>
      <c r="M21" s="275">
        <v>222086</v>
      </c>
      <c r="N21" s="275">
        <v>5492943</v>
      </c>
      <c r="O21" s="97">
        <f t="shared" si="6"/>
        <v>5715029</v>
      </c>
    </row>
    <row r="22" spans="1:18" x14ac:dyDescent="0.35">
      <c r="A22" t="s">
        <v>88</v>
      </c>
      <c r="B22" s="76">
        <f t="shared" si="2"/>
        <v>0</v>
      </c>
      <c r="C22" s="76">
        <f t="shared" si="2"/>
        <v>0</v>
      </c>
      <c r="D22" s="76"/>
      <c r="E22" s="154"/>
      <c r="F22" s="76">
        <f t="shared" ref="F22:H31" si="7">M22*365</f>
        <v>2573980</v>
      </c>
      <c r="G22" s="76">
        <f t="shared" si="7"/>
        <v>453886625</v>
      </c>
      <c r="H22" s="76">
        <f t="shared" si="7"/>
        <v>456460605</v>
      </c>
      <c r="I22" s="154">
        <f t="shared" si="4"/>
        <v>0.99436100296103314</v>
      </c>
      <c r="J22" s="274"/>
      <c r="K22" s="274"/>
      <c r="L22" s="97"/>
      <c r="M22" s="275">
        <v>7052</v>
      </c>
      <c r="N22" s="275">
        <v>1243525</v>
      </c>
      <c r="O22" s="97">
        <f t="shared" si="6"/>
        <v>1250577</v>
      </c>
    </row>
    <row r="23" spans="1:18" x14ac:dyDescent="0.35">
      <c r="A23" t="s">
        <v>233</v>
      </c>
      <c r="B23" s="76">
        <f t="shared" si="2"/>
        <v>2808018365</v>
      </c>
      <c r="C23" s="76">
        <f t="shared" si="2"/>
        <v>9813817050</v>
      </c>
      <c r="D23" s="76">
        <f t="shared" si="2"/>
        <v>12621835415</v>
      </c>
      <c r="E23" s="154">
        <f t="shared" si="3"/>
        <v>0.77752693862075684</v>
      </c>
      <c r="F23" s="76">
        <f t="shared" si="7"/>
        <v>2287276150</v>
      </c>
      <c r="G23" s="76">
        <f t="shared" si="7"/>
        <v>7255614905</v>
      </c>
      <c r="H23" s="76">
        <f t="shared" si="7"/>
        <v>9542891055</v>
      </c>
      <c r="I23" s="154">
        <f t="shared" si="4"/>
        <v>0.76031622525947407</v>
      </c>
      <c r="J23" s="275">
        <v>7693201</v>
      </c>
      <c r="K23" s="275">
        <v>26887170</v>
      </c>
      <c r="L23" s="97">
        <f t="shared" si="5"/>
        <v>34580371</v>
      </c>
      <c r="M23" s="275">
        <v>6266510</v>
      </c>
      <c r="N23" s="275">
        <v>19878397</v>
      </c>
      <c r="O23" s="97">
        <f t="shared" si="6"/>
        <v>26144907</v>
      </c>
    </row>
    <row r="24" spans="1:18" x14ac:dyDescent="0.35">
      <c r="A24" t="s">
        <v>90</v>
      </c>
      <c r="B24" s="76">
        <f t="shared" si="2"/>
        <v>0</v>
      </c>
      <c r="C24" s="76">
        <f t="shared" si="2"/>
        <v>0</v>
      </c>
      <c r="D24" s="76"/>
      <c r="E24" s="154"/>
      <c r="F24" s="76">
        <f t="shared" si="7"/>
        <v>4796830</v>
      </c>
      <c r="G24" s="76">
        <f t="shared" si="7"/>
        <v>1062712830</v>
      </c>
      <c r="H24" s="76">
        <f t="shared" si="7"/>
        <v>1067509660</v>
      </c>
      <c r="I24" s="154">
        <f t="shared" si="4"/>
        <v>0.99550652309788001</v>
      </c>
      <c r="J24" s="274"/>
      <c r="K24" s="274"/>
      <c r="L24" s="97"/>
      <c r="M24" s="275">
        <v>13142</v>
      </c>
      <c r="N24" s="275">
        <v>2911542</v>
      </c>
      <c r="O24" s="97">
        <f t="shared" si="6"/>
        <v>2924684</v>
      </c>
    </row>
    <row r="25" spans="1:18" x14ac:dyDescent="0.35">
      <c r="A25" t="s">
        <v>91</v>
      </c>
      <c r="B25" s="76">
        <f t="shared" si="2"/>
        <v>0</v>
      </c>
      <c r="C25" s="76">
        <f t="shared" si="2"/>
        <v>266776310</v>
      </c>
      <c r="D25" s="76">
        <f t="shared" si="2"/>
        <v>266776310</v>
      </c>
      <c r="E25" s="154">
        <f t="shared" si="3"/>
        <v>1</v>
      </c>
      <c r="F25" s="76">
        <f t="shared" si="7"/>
        <v>35152420</v>
      </c>
      <c r="G25" s="76">
        <f t="shared" si="7"/>
        <v>273756570</v>
      </c>
      <c r="H25" s="76">
        <f t="shared" si="7"/>
        <v>308908990</v>
      </c>
      <c r="I25" s="154">
        <f t="shared" si="4"/>
        <v>0.88620460673546597</v>
      </c>
      <c r="J25" s="274"/>
      <c r="K25" s="275">
        <v>730894</v>
      </c>
      <c r="L25" s="97">
        <f t="shared" si="5"/>
        <v>730894</v>
      </c>
      <c r="M25" s="275">
        <v>96308</v>
      </c>
      <c r="N25" s="275">
        <v>750018</v>
      </c>
      <c r="O25" s="97">
        <f t="shared" si="6"/>
        <v>846326</v>
      </c>
    </row>
    <row r="26" spans="1:18" x14ac:dyDescent="0.35">
      <c r="A26" t="s">
        <v>92</v>
      </c>
      <c r="B26" s="76">
        <f t="shared" si="2"/>
        <v>0</v>
      </c>
      <c r="C26" s="76">
        <f t="shared" si="2"/>
        <v>632543540</v>
      </c>
      <c r="D26" s="76">
        <f t="shared" si="2"/>
        <v>632543540</v>
      </c>
      <c r="E26" s="154">
        <f t="shared" si="3"/>
        <v>1</v>
      </c>
      <c r="F26" s="76">
        <f t="shared" si="7"/>
        <v>78927965</v>
      </c>
      <c r="G26" s="76">
        <f t="shared" si="7"/>
        <v>1532401765</v>
      </c>
      <c r="H26" s="76">
        <f t="shared" si="7"/>
        <v>1611329730</v>
      </c>
      <c r="I26" s="154">
        <f t="shared" si="4"/>
        <v>0.95101687536045154</v>
      </c>
      <c r="J26" s="276">
        <v>0</v>
      </c>
      <c r="K26" s="277">
        <v>1732996</v>
      </c>
      <c r="L26" s="97">
        <f t="shared" si="5"/>
        <v>1732996</v>
      </c>
      <c r="M26" s="275">
        <v>216241</v>
      </c>
      <c r="N26" s="275">
        <v>4198361</v>
      </c>
      <c r="O26" s="97">
        <f t="shared" si="6"/>
        <v>4414602</v>
      </c>
    </row>
    <row r="27" spans="1:18" x14ac:dyDescent="0.35">
      <c r="A27" t="s">
        <v>93</v>
      </c>
      <c r="B27" s="76">
        <f t="shared" si="2"/>
        <v>0</v>
      </c>
      <c r="C27" s="76">
        <f t="shared" si="2"/>
        <v>0</v>
      </c>
      <c r="D27" s="76"/>
      <c r="E27" s="154"/>
      <c r="F27" s="76">
        <f t="shared" si="7"/>
        <v>9742945</v>
      </c>
      <c r="G27" s="76">
        <f t="shared" si="7"/>
        <v>1002179770</v>
      </c>
      <c r="H27" s="76">
        <f t="shared" si="7"/>
        <v>1011922715</v>
      </c>
      <c r="I27" s="154">
        <f t="shared" si="4"/>
        <v>0.99037184870388051</v>
      </c>
      <c r="J27" s="274"/>
      <c r="K27" s="274"/>
      <c r="L27" s="97"/>
      <c r="M27" s="275">
        <v>26693</v>
      </c>
      <c r="N27" s="275">
        <v>2745698</v>
      </c>
      <c r="O27" s="97">
        <f t="shared" si="6"/>
        <v>2772391</v>
      </c>
    </row>
    <row r="28" spans="1:18" x14ac:dyDescent="0.35">
      <c r="A28" t="s">
        <v>94</v>
      </c>
      <c r="B28" s="76">
        <f t="shared" si="2"/>
        <v>216320535</v>
      </c>
      <c r="C28" s="76">
        <f t="shared" si="2"/>
        <v>1629344670</v>
      </c>
      <c r="D28" s="76">
        <f t="shared" si="2"/>
        <v>1845665205</v>
      </c>
      <c r="E28" s="154">
        <f t="shared" si="3"/>
        <v>0.88279535507632867</v>
      </c>
      <c r="F28" s="76">
        <f t="shared" si="7"/>
        <v>52104480</v>
      </c>
      <c r="G28" s="76">
        <f t="shared" si="7"/>
        <v>1056849470</v>
      </c>
      <c r="H28" s="76">
        <f t="shared" si="7"/>
        <v>1108953950</v>
      </c>
      <c r="I28" s="154">
        <f t="shared" si="4"/>
        <v>0.95301474871882641</v>
      </c>
      <c r="J28" s="275">
        <v>592659</v>
      </c>
      <c r="K28" s="275">
        <v>4463958</v>
      </c>
      <c r="L28" s="97">
        <f t="shared" si="5"/>
        <v>5056617</v>
      </c>
      <c r="M28" s="275">
        <v>142752</v>
      </c>
      <c r="N28" s="275">
        <v>2895478</v>
      </c>
      <c r="O28" s="97">
        <f t="shared" si="6"/>
        <v>3038230</v>
      </c>
    </row>
    <row r="29" spans="1:18" x14ac:dyDescent="0.35">
      <c r="A29" t="s">
        <v>95</v>
      </c>
      <c r="B29" s="76">
        <f t="shared" si="2"/>
        <v>0</v>
      </c>
      <c r="C29" s="76">
        <f t="shared" si="2"/>
        <v>194793565</v>
      </c>
      <c r="D29" s="76">
        <f t="shared" si="2"/>
        <v>194793565</v>
      </c>
      <c r="E29" s="154">
        <f t="shared" si="3"/>
        <v>1</v>
      </c>
      <c r="F29" s="76">
        <f t="shared" si="7"/>
        <v>52827545</v>
      </c>
      <c r="G29" s="76">
        <f t="shared" si="7"/>
        <v>609268220</v>
      </c>
      <c r="H29" s="76">
        <f t="shared" si="7"/>
        <v>662095765</v>
      </c>
      <c r="I29" s="154">
        <f t="shared" si="4"/>
        <v>0.92021162527750044</v>
      </c>
      <c r="J29" s="274"/>
      <c r="K29" s="275">
        <v>533681</v>
      </c>
      <c r="L29" s="97">
        <f t="shared" si="5"/>
        <v>533681</v>
      </c>
      <c r="M29" s="275">
        <v>144733</v>
      </c>
      <c r="N29" s="275">
        <v>1669228</v>
      </c>
      <c r="O29" s="97">
        <f t="shared" si="6"/>
        <v>1813961</v>
      </c>
    </row>
    <row r="30" spans="1:18" x14ac:dyDescent="0.35">
      <c r="A30" s="278" t="s">
        <v>96</v>
      </c>
      <c r="B30" s="279">
        <f>J30*365</f>
        <v>208954835</v>
      </c>
      <c r="C30" s="279">
        <f>K30*365</f>
        <v>3187074150</v>
      </c>
      <c r="D30" s="279">
        <f>L30*365</f>
        <v>3396028985</v>
      </c>
      <c r="E30" s="280">
        <f>C30/D30</f>
        <v>0.93847083286893673</v>
      </c>
      <c r="F30" s="279">
        <f>M30*365</f>
        <v>437919700</v>
      </c>
      <c r="G30" s="279">
        <f>N30*365</f>
        <v>3579165180</v>
      </c>
      <c r="H30" s="279">
        <f>O30*365</f>
        <v>4017084880</v>
      </c>
      <c r="I30" s="280">
        <f>G30/H30</f>
        <v>0.89098569906245051</v>
      </c>
      <c r="J30" s="282">
        <f>J9+J14+J15</f>
        <v>572479</v>
      </c>
      <c r="K30" s="282">
        <f>K9+K14+K15</f>
        <v>8731710</v>
      </c>
      <c r="L30" s="283">
        <f t="shared" si="5"/>
        <v>9304189</v>
      </c>
      <c r="M30" s="282">
        <f>M9+M14+M15</f>
        <v>1199780</v>
      </c>
      <c r="N30" s="282">
        <f>N9+N14+N15</f>
        <v>9805932</v>
      </c>
      <c r="O30" s="283">
        <f t="shared" si="6"/>
        <v>11005712</v>
      </c>
      <c r="P30" s="278"/>
      <c r="Q30" s="278"/>
      <c r="R30" s="278"/>
    </row>
    <row r="31" spans="1:18" x14ac:dyDescent="0.35">
      <c r="A31" t="s">
        <v>99</v>
      </c>
      <c r="B31" s="76">
        <f t="shared" si="2"/>
        <v>42690035</v>
      </c>
      <c r="C31" s="76">
        <f t="shared" si="2"/>
        <v>21318432725</v>
      </c>
      <c r="D31" s="76">
        <f t="shared" si="2"/>
        <v>21361122760</v>
      </c>
      <c r="E31" s="154">
        <f t="shared" si="3"/>
        <v>0.99800150790388509</v>
      </c>
      <c r="F31" s="76">
        <f t="shared" si="7"/>
        <v>466485330</v>
      </c>
      <c r="G31" s="76">
        <f t="shared" si="7"/>
        <v>27311001995</v>
      </c>
      <c r="H31" s="76">
        <f t="shared" si="7"/>
        <v>27777487325</v>
      </c>
      <c r="I31" s="154">
        <f t="shared" si="4"/>
        <v>0.98320635252058386</v>
      </c>
      <c r="J31" s="275">
        <v>116959</v>
      </c>
      <c r="K31" s="275">
        <v>58406665</v>
      </c>
      <c r="L31" s="78">
        <f>+J31++K31</f>
        <v>58523624</v>
      </c>
      <c r="M31" s="275">
        <v>1278042</v>
      </c>
      <c r="N31" s="275">
        <v>74824663</v>
      </c>
      <c r="O31" s="97">
        <f t="shared" si="6"/>
        <v>76102705</v>
      </c>
    </row>
    <row r="32" spans="1:18" x14ac:dyDescent="0.35">
      <c r="A32" t="s">
        <v>439</v>
      </c>
      <c r="B32" s="76">
        <f t="shared" si="2"/>
        <v>22017194565</v>
      </c>
      <c r="C32" s="76">
        <f t="shared" si="2"/>
        <v>103323446275</v>
      </c>
      <c r="D32" s="76">
        <f t="shared" si="2"/>
        <v>125340640840</v>
      </c>
      <c r="E32" s="154">
        <f t="shared" si="3"/>
        <v>0.82434113614350024</v>
      </c>
      <c r="F32" s="76">
        <f>M32*365</f>
        <v>23994598490</v>
      </c>
      <c r="G32" s="76">
        <f>N32*365</f>
        <v>128548528385</v>
      </c>
      <c r="H32" s="76">
        <f>O32*365</f>
        <v>152543126875</v>
      </c>
      <c r="I32" s="154">
        <f t="shared" si="4"/>
        <v>0.8427028540613164</v>
      </c>
      <c r="J32" s="97">
        <f t="shared" ref="J32:O32" si="8">SUM(J5:J29,J31)</f>
        <v>60321081</v>
      </c>
      <c r="K32" s="97">
        <f t="shared" si="8"/>
        <v>283077935</v>
      </c>
      <c r="L32" s="97">
        <f t="shared" si="8"/>
        <v>343399016</v>
      </c>
      <c r="M32" s="97">
        <f t="shared" si="8"/>
        <v>65738626</v>
      </c>
      <c r="N32" s="97">
        <f t="shared" si="8"/>
        <v>352187749</v>
      </c>
      <c r="O32" s="97">
        <f t="shared" si="8"/>
        <v>417926375</v>
      </c>
    </row>
    <row r="33" spans="1:15" s="32" customFormat="1" x14ac:dyDescent="0.35">
      <c r="B33" s="40"/>
      <c r="C33" s="40"/>
      <c r="D33" s="40"/>
      <c r="E33" s="30"/>
      <c r="F33" s="40"/>
      <c r="G33" s="40"/>
      <c r="H33" s="29"/>
      <c r="I33" s="30"/>
    </row>
    <row r="34" spans="1:15" s="5" customFormat="1" ht="15" customHeight="1" x14ac:dyDescent="0.35">
      <c r="A34" s="674" t="s">
        <v>128</v>
      </c>
      <c r="B34" s="675" t="s">
        <v>447</v>
      </c>
      <c r="C34" s="675"/>
      <c r="D34" s="675"/>
      <c r="E34" s="28"/>
      <c r="F34" s="46"/>
      <c r="G34" s="6"/>
      <c r="H34" s="6"/>
      <c r="I34" s="159"/>
      <c r="J34" s="46"/>
      <c r="K34" s="51"/>
      <c r="L34" s="51"/>
      <c r="N34" s="51"/>
      <c r="O34" s="51"/>
    </row>
    <row r="35" spans="1:15" s="5" customFormat="1" ht="15" customHeight="1" x14ac:dyDescent="0.35">
      <c r="A35" s="674"/>
      <c r="B35" s="6" t="s">
        <v>194</v>
      </c>
      <c r="C35" s="6" t="s">
        <v>127</v>
      </c>
      <c r="D35" s="6" t="s">
        <v>441</v>
      </c>
      <c r="E35" s="28"/>
      <c r="F35" s="46"/>
      <c r="G35" s="6"/>
      <c r="H35" s="6"/>
      <c r="I35" s="159"/>
      <c r="J35" s="46"/>
      <c r="K35" s="51"/>
      <c r="L35" s="51"/>
      <c r="N35" s="51"/>
      <c r="O35" s="51"/>
    </row>
    <row r="36" spans="1:15" s="3" customFormat="1" ht="14.9" customHeight="1" x14ac:dyDescent="0.35">
      <c r="A36" t="s">
        <v>71</v>
      </c>
      <c r="B36" s="287">
        <v>34.378</v>
      </c>
      <c r="C36" s="287">
        <v>37.463799999999992</v>
      </c>
      <c r="D36" s="16">
        <f>C36/B36</f>
        <v>1.0897608935947405</v>
      </c>
      <c r="E36" s="99"/>
      <c r="F36" s="99"/>
      <c r="G36" s="13"/>
      <c r="H36" s="22"/>
      <c r="I36" s="13"/>
      <c r="J36" s="4"/>
      <c r="K36" s="25"/>
      <c r="L36" s="14"/>
    </row>
    <row r="37" spans="1:15" x14ac:dyDescent="0.35">
      <c r="A37" t="s">
        <v>72</v>
      </c>
      <c r="B37" s="287">
        <v>69.094000000000008</v>
      </c>
      <c r="C37" s="287">
        <v>83.995020000000025</v>
      </c>
      <c r="D37" s="16">
        <f t="shared" ref="D37:D62" si="9">C37/B37</f>
        <v>1.215663009812719</v>
      </c>
      <c r="E37" s="99"/>
      <c r="F37" s="99"/>
      <c r="G37" s="13"/>
      <c r="H37" s="22"/>
      <c r="I37" s="13"/>
      <c r="J37" s="4"/>
      <c r="K37" s="26"/>
      <c r="L37" s="73"/>
    </row>
    <row r="38" spans="1:15" x14ac:dyDescent="0.35">
      <c r="A38" t="s">
        <v>73</v>
      </c>
      <c r="B38" s="287">
        <v>161.86799999999999</v>
      </c>
      <c r="C38" s="287">
        <v>312.46951000000013</v>
      </c>
      <c r="D38" s="16">
        <f t="shared" si="9"/>
        <v>1.9303970519188483</v>
      </c>
      <c r="E38" s="99"/>
      <c r="F38" s="99"/>
      <c r="G38" s="13"/>
      <c r="H38" s="22"/>
      <c r="I38" s="13"/>
      <c r="J38" s="4"/>
      <c r="L38" s="72"/>
    </row>
    <row r="39" spans="1:15" x14ac:dyDescent="0.35">
      <c r="A39" t="s">
        <v>74</v>
      </c>
      <c r="B39" s="287">
        <v>88.942999999999984</v>
      </c>
      <c r="C39" s="287">
        <v>113.25240999999995</v>
      </c>
      <c r="D39" s="16">
        <f t="shared" si="9"/>
        <v>1.2733144823088942</v>
      </c>
      <c r="E39" s="99"/>
      <c r="F39" s="99"/>
      <c r="G39" s="13"/>
      <c r="H39" s="22"/>
      <c r="I39" s="13"/>
      <c r="J39" s="4"/>
      <c r="L39" s="27"/>
    </row>
    <row r="40" spans="1:15" x14ac:dyDescent="0.35">
      <c r="A40" t="s">
        <v>75</v>
      </c>
      <c r="B40" s="287">
        <v>41.429000000000002</v>
      </c>
      <c r="C40" s="287">
        <v>60.007039999999996</v>
      </c>
      <c r="D40" s="16">
        <f t="shared" si="9"/>
        <v>1.4484308093364551</v>
      </c>
      <c r="E40" s="99"/>
      <c r="F40" s="99"/>
      <c r="G40" s="13"/>
      <c r="H40" s="22"/>
      <c r="I40" s="13"/>
      <c r="J40" s="4"/>
      <c r="L40" s="27"/>
    </row>
    <row r="41" spans="1:15" x14ac:dyDescent="0.35">
      <c r="A41" t="s">
        <v>76</v>
      </c>
      <c r="B41" s="287"/>
      <c r="C41" s="287"/>
      <c r="D41" s="16"/>
      <c r="E41" s="99"/>
      <c r="F41" s="99"/>
      <c r="G41" s="13"/>
      <c r="H41" s="22"/>
      <c r="I41" s="13"/>
      <c r="J41" s="4"/>
      <c r="L41" s="27"/>
    </row>
    <row r="42" spans="1:15" x14ac:dyDescent="0.35">
      <c r="A42" t="s">
        <v>77</v>
      </c>
      <c r="B42" s="287">
        <v>39.122999999999998</v>
      </c>
      <c r="C42" s="287">
        <v>42.729549999999996</v>
      </c>
      <c r="D42" s="16">
        <f t="shared" si="9"/>
        <v>1.0921849040206528</v>
      </c>
      <c r="E42" s="99"/>
      <c r="F42" s="99"/>
      <c r="G42" s="13"/>
      <c r="H42" s="22"/>
      <c r="I42" s="13"/>
      <c r="J42" s="4"/>
      <c r="L42" s="27"/>
    </row>
    <row r="43" spans="1:15" x14ac:dyDescent="0.35">
      <c r="A43" t="s">
        <v>78</v>
      </c>
      <c r="B43" s="287">
        <v>1010.0209999999994</v>
      </c>
      <c r="C43" s="287">
        <v>1834.9924300000027</v>
      </c>
      <c r="D43" s="16">
        <f t="shared" si="9"/>
        <v>1.8167864133518055</v>
      </c>
      <c r="E43" s="99"/>
      <c r="F43" s="99"/>
      <c r="G43" s="13"/>
      <c r="H43" s="22"/>
      <c r="I43" s="13"/>
      <c r="J43" s="4"/>
      <c r="L43" s="27"/>
    </row>
    <row r="44" spans="1:15" x14ac:dyDescent="0.35">
      <c r="A44" t="s">
        <v>79</v>
      </c>
      <c r="B44" s="287">
        <v>114.944</v>
      </c>
      <c r="C44" s="287">
        <v>169.49347000000009</v>
      </c>
      <c r="D44" s="16">
        <f t="shared" si="9"/>
        <v>1.4745743144487757</v>
      </c>
      <c r="E44" s="99"/>
      <c r="F44" s="99"/>
      <c r="G44" s="13"/>
      <c r="H44" s="22"/>
      <c r="I44" s="13"/>
      <c r="J44" s="4"/>
      <c r="L44" s="27"/>
    </row>
    <row r="45" spans="1:15" x14ac:dyDescent="0.35">
      <c r="A45" t="s">
        <v>80</v>
      </c>
      <c r="B45" s="287">
        <v>55.194999999999993</v>
      </c>
      <c r="C45" s="287">
        <v>62.621690000000008</v>
      </c>
      <c r="D45" s="16">
        <f t="shared" si="9"/>
        <v>1.1345536733399768</v>
      </c>
      <c r="E45" s="99"/>
      <c r="F45" s="99"/>
      <c r="G45" s="13"/>
      <c r="H45" s="22"/>
      <c r="I45" s="13"/>
      <c r="J45" s="4"/>
      <c r="L45" s="27"/>
    </row>
    <row r="46" spans="1:15" x14ac:dyDescent="0.35">
      <c r="A46" t="s">
        <v>81</v>
      </c>
      <c r="B46" s="287">
        <v>95.492999999999938</v>
      </c>
      <c r="C46" s="287">
        <v>142.41082000000011</v>
      </c>
      <c r="D46" s="16">
        <f t="shared" si="9"/>
        <v>1.4913220864356571</v>
      </c>
      <c r="E46" s="99"/>
      <c r="F46" s="99"/>
      <c r="G46" s="13"/>
      <c r="H46" s="22"/>
      <c r="I46" s="13"/>
      <c r="J46" s="4"/>
      <c r="L46" s="27"/>
    </row>
    <row r="47" spans="1:15" x14ac:dyDescent="0.35">
      <c r="A47" t="s">
        <v>82</v>
      </c>
      <c r="B47" s="287">
        <v>735.31500000000085</v>
      </c>
      <c r="C47" s="287">
        <v>1575.6527199999989</v>
      </c>
      <c r="D47" s="16">
        <f t="shared" si="9"/>
        <v>2.1428268429176573</v>
      </c>
      <c r="E47" s="99"/>
      <c r="F47" s="99"/>
      <c r="G47" s="13"/>
      <c r="H47" s="22"/>
      <c r="I47" s="13"/>
      <c r="J47" s="4"/>
      <c r="L47" s="27"/>
    </row>
    <row r="48" spans="1:15" x14ac:dyDescent="0.35">
      <c r="A48" t="s">
        <v>83</v>
      </c>
      <c r="B48" s="287">
        <v>114.46499999999995</v>
      </c>
      <c r="C48" s="287">
        <v>143.94755999999992</v>
      </c>
      <c r="D48" s="16">
        <f t="shared" si="9"/>
        <v>1.2575683396671471</v>
      </c>
      <c r="E48" s="99"/>
      <c r="F48" s="99"/>
      <c r="G48" s="13"/>
      <c r="H48" s="22"/>
      <c r="I48" s="13"/>
      <c r="J48" s="4"/>
      <c r="L48" s="27"/>
    </row>
    <row r="49" spans="1:12" x14ac:dyDescent="0.35">
      <c r="A49" t="s">
        <v>84</v>
      </c>
      <c r="B49" s="287">
        <v>35.673000000000002</v>
      </c>
      <c r="C49" s="287">
        <v>48.212329999999994</v>
      </c>
      <c r="D49" s="16">
        <f t="shared" si="9"/>
        <v>1.3515075827656768</v>
      </c>
      <c r="E49" s="99"/>
      <c r="F49" s="99"/>
      <c r="G49" s="13"/>
      <c r="H49" s="22"/>
      <c r="I49" s="13"/>
      <c r="J49" s="4"/>
      <c r="L49" s="27"/>
    </row>
    <row r="50" spans="1:12" x14ac:dyDescent="0.35">
      <c r="A50" t="s">
        <v>85</v>
      </c>
      <c r="B50" s="287">
        <v>28.784000000000006</v>
      </c>
      <c r="C50" s="287">
        <v>33.86</v>
      </c>
      <c r="D50" s="16">
        <f t="shared" si="9"/>
        <v>1.1763479710950526</v>
      </c>
      <c r="E50" s="99"/>
      <c r="F50" s="99"/>
      <c r="G50" s="13"/>
      <c r="H50" s="22"/>
      <c r="I50" s="13"/>
      <c r="J50" s="4"/>
      <c r="L50" s="27"/>
    </row>
    <row r="51" spans="1:12" x14ac:dyDescent="0.35">
      <c r="A51" t="s">
        <v>86</v>
      </c>
      <c r="B51" s="287">
        <v>22.187999999999999</v>
      </c>
      <c r="C51" s="287">
        <v>27.201520000000006</v>
      </c>
      <c r="D51" s="16">
        <f t="shared" si="9"/>
        <v>1.2259563728141341</v>
      </c>
      <c r="E51" s="99"/>
      <c r="F51" s="99"/>
      <c r="G51" s="13"/>
      <c r="H51" s="22"/>
      <c r="I51" s="13"/>
      <c r="J51" s="4"/>
      <c r="L51" s="27"/>
    </row>
    <row r="52" spans="1:12" x14ac:dyDescent="0.35">
      <c r="A52" t="s">
        <v>87</v>
      </c>
      <c r="B52" s="287">
        <v>83.826999999999998</v>
      </c>
      <c r="C52" s="287">
        <v>127.45021</v>
      </c>
      <c r="D52" s="16">
        <f t="shared" si="9"/>
        <v>1.5203956958975031</v>
      </c>
      <c r="E52" s="99"/>
      <c r="F52" s="99"/>
      <c r="G52" s="13"/>
      <c r="H52" s="22"/>
      <c r="I52" s="13"/>
      <c r="J52" s="4"/>
      <c r="L52" s="27"/>
    </row>
    <row r="53" spans="1:12" x14ac:dyDescent="0.35">
      <c r="A53" t="s">
        <v>88</v>
      </c>
      <c r="B53" s="287"/>
      <c r="C53" s="287"/>
      <c r="D53" s="16"/>
      <c r="E53" s="99"/>
      <c r="F53" s="99"/>
      <c r="G53" s="13"/>
      <c r="H53" s="22"/>
      <c r="I53" s="13"/>
      <c r="J53" s="4"/>
    </row>
    <row r="54" spans="1:12" x14ac:dyDescent="0.35">
      <c r="A54" t="s">
        <v>233</v>
      </c>
      <c r="B54" s="287">
        <v>426.07999999999953</v>
      </c>
      <c r="C54" s="287">
        <v>727.24724999999921</v>
      </c>
      <c r="D54" s="16">
        <f t="shared" si="9"/>
        <v>1.7068326370634623</v>
      </c>
      <c r="E54" s="99"/>
      <c r="F54" s="99"/>
      <c r="G54" s="13"/>
      <c r="H54" s="22"/>
      <c r="I54" s="13"/>
      <c r="J54" s="4"/>
      <c r="L54" s="27"/>
    </row>
    <row r="55" spans="1:12" x14ac:dyDescent="0.35">
      <c r="A55" t="s">
        <v>90</v>
      </c>
      <c r="B55" s="287"/>
      <c r="C55" s="287"/>
      <c r="D55" s="16"/>
      <c r="E55" s="99"/>
      <c r="F55" s="99"/>
      <c r="G55" s="13"/>
      <c r="H55" s="22"/>
      <c r="I55" s="13"/>
      <c r="J55" s="4"/>
      <c r="L55" s="27"/>
    </row>
    <row r="56" spans="1:12" x14ac:dyDescent="0.35">
      <c r="A56" t="s">
        <v>91</v>
      </c>
      <c r="B56" s="287">
        <v>24.888999999999996</v>
      </c>
      <c r="C56" s="287">
        <v>26.976450000000007</v>
      </c>
      <c r="D56" s="16">
        <f t="shared" si="9"/>
        <v>1.0838703845072124</v>
      </c>
      <c r="E56" s="99"/>
      <c r="F56" s="99"/>
      <c r="G56" s="13"/>
      <c r="H56" s="22"/>
      <c r="I56" s="13"/>
      <c r="J56" s="4"/>
      <c r="L56" s="27"/>
    </row>
    <row r="57" spans="1:12" x14ac:dyDescent="0.35">
      <c r="A57" t="s">
        <v>92</v>
      </c>
      <c r="B57" s="287">
        <v>56.039000000000001</v>
      </c>
      <c r="C57" s="287">
        <v>60.682850000000009</v>
      </c>
      <c r="D57" s="16">
        <f t="shared" si="9"/>
        <v>1.0828681810881708</v>
      </c>
      <c r="E57" s="99"/>
      <c r="F57" s="99"/>
      <c r="G57" s="13"/>
      <c r="H57" s="22"/>
      <c r="I57" s="13"/>
      <c r="J57" s="4"/>
      <c r="L57" s="27"/>
    </row>
    <row r="58" spans="1:12" x14ac:dyDescent="0.35">
      <c r="A58" t="s">
        <v>93</v>
      </c>
      <c r="B58" s="287"/>
      <c r="C58" s="287"/>
      <c r="D58" s="16"/>
      <c r="E58" s="99"/>
      <c r="F58" s="99"/>
      <c r="G58" s="13"/>
      <c r="H58" s="22"/>
      <c r="I58" s="13"/>
      <c r="J58" s="4"/>
      <c r="L58" s="27"/>
    </row>
    <row r="59" spans="1:12" x14ac:dyDescent="0.35">
      <c r="A59" t="s">
        <v>94</v>
      </c>
      <c r="B59" s="287">
        <v>69.20999999999998</v>
      </c>
      <c r="C59" s="287">
        <v>109.57419000000003</v>
      </c>
      <c r="D59" s="16">
        <f t="shared" si="9"/>
        <v>1.5832132639791947</v>
      </c>
      <c r="E59" s="99"/>
      <c r="F59" s="99"/>
      <c r="G59" s="13"/>
      <c r="H59" s="22"/>
      <c r="I59" s="13"/>
      <c r="J59" s="4"/>
      <c r="L59" s="27"/>
    </row>
    <row r="60" spans="1:12" x14ac:dyDescent="0.35">
      <c r="A60" t="s">
        <v>95</v>
      </c>
      <c r="B60" s="287">
        <v>17.527000000000001</v>
      </c>
      <c r="C60" s="287">
        <v>20.031450000000007</v>
      </c>
      <c r="D60" s="16">
        <f t="shared" si="9"/>
        <v>1.1428909682204602</v>
      </c>
      <c r="E60" s="99"/>
      <c r="F60" s="99"/>
      <c r="G60" s="13"/>
      <c r="H60" s="22"/>
      <c r="I60" s="13"/>
      <c r="J60" s="4"/>
      <c r="L60" s="27"/>
    </row>
    <row r="61" spans="1:12" x14ac:dyDescent="0.35">
      <c r="A61" s="278" t="s">
        <v>96</v>
      </c>
      <c r="B61" s="284">
        <f>B40+B45+B46</f>
        <v>192.11699999999993</v>
      </c>
      <c r="C61" s="284">
        <f>C40+C45+C46</f>
        <v>265.03955000000013</v>
      </c>
      <c r="D61" s="285">
        <f t="shared" si="9"/>
        <v>1.3795736452266079</v>
      </c>
      <c r="E61" s="284"/>
      <c r="F61" s="99"/>
      <c r="G61" s="13"/>
      <c r="H61" s="22"/>
      <c r="I61" s="13"/>
      <c r="J61" s="4"/>
      <c r="L61" s="27"/>
    </row>
    <row r="62" spans="1:12" x14ac:dyDescent="0.35">
      <c r="A62" t="s">
        <v>99</v>
      </c>
      <c r="B62" s="287">
        <v>3237.8699999999958</v>
      </c>
      <c r="C62" s="287">
        <v>3635.5246799999954</v>
      </c>
      <c r="D62" s="16">
        <f t="shared" si="9"/>
        <v>1.1228136645387246</v>
      </c>
      <c r="E62" s="99"/>
      <c r="F62" s="99"/>
      <c r="G62" s="13"/>
      <c r="H62" s="22"/>
      <c r="I62" s="13"/>
      <c r="J62" s="4"/>
      <c r="L62" s="27"/>
    </row>
    <row r="63" spans="1:12" s="32" customFormat="1" x14ac:dyDescent="0.35">
      <c r="B63" s="41"/>
      <c r="F63" s="42"/>
      <c r="G63" s="40"/>
      <c r="H63" s="29"/>
      <c r="I63" s="30"/>
      <c r="K63" s="41"/>
    </row>
  </sheetData>
  <mergeCells count="8">
    <mergeCell ref="A34:A35"/>
    <mergeCell ref="B34:D34"/>
    <mergeCell ref="B2:I2"/>
    <mergeCell ref="J2:O2"/>
    <mergeCell ref="B3:E3"/>
    <mergeCell ref="F3:I3"/>
    <mergeCell ref="J3:L3"/>
    <mergeCell ref="M3:O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10536-3180-4A56-99D4-008DFCE66279}">
  <sheetPr>
    <tabColor rgb="FF00B050"/>
  </sheetPr>
  <dimension ref="A1:Q63"/>
  <sheetViews>
    <sheetView topLeftCell="A31" workbookViewId="0">
      <selection activeCell="D36" sqref="D36"/>
    </sheetView>
  </sheetViews>
  <sheetFormatPr defaultColWidth="8.7265625" defaultRowHeight="14.5" x14ac:dyDescent="0.35"/>
  <cols>
    <col min="1" max="1" width="23.26953125" bestFit="1" customWidth="1"/>
    <col min="2" max="2" width="18.7265625" bestFit="1" customWidth="1"/>
    <col min="3" max="3" width="17.7265625" customWidth="1"/>
    <col min="4" max="4" width="16.7265625" bestFit="1" customWidth="1"/>
    <col min="5" max="5" width="15.7265625" customWidth="1"/>
    <col min="6" max="6" width="15.26953125" customWidth="1"/>
    <col min="7" max="9" width="15.7265625" customWidth="1"/>
    <col min="10" max="11" width="19.7265625" bestFit="1" customWidth="1"/>
    <col min="12" max="12" width="15.7265625" customWidth="1"/>
    <col min="13" max="14" width="19.7265625" bestFit="1" customWidth="1"/>
    <col min="15" max="15" width="15.7265625" customWidth="1"/>
    <col min="17" max="17" width="11.7265625" bestFit="1" customWidth="1"/>
  </cols>
  <sheetData>
    <row r="1" spans="1:15" s="32" customFormat="1" x14ac:dyDescent="0.35">
      <c r="B1" s="40"/>
      <c r="C1" s="40"/>
      <c r="D1" s="40"/>
      <c r="E1" s="30"/>
      <c r="F1" s="40"/>
      <c r="G1" s="40"/>
      <c r="H1" s="29"/>
      <c r="I1" s="30"/>
    </row>
    <row r="2" spans="1:15" s="5" customFormat="1" x14ac:dyDescent="0.35">
      <c r="B2" s="676" t="s">
        <v>448</v>
      </c>
      <c r="C2" s="676"/>
      <c r="D2" s="676"/>
      <c r="E2" s="676"/>
      <c r="F2" s="676"/>
      <c r="G2" s="676"/>
      <c r="H2" s="676"/>
      <c r="I2" s="676"/>
      <c r="J2" s="676" t="s">
        <v>449</v>
      </c>
      <c r="K2" s="676"/>
      <c r="L2" s="676"/>
      <c r="M2" s="676"/>
      <c r="N2" s="676"/>
      <c r="O2" s="676"/>
    </row>
    <row r="3" spans="1:15" s="6" customFormat="1" x14ac:dyDescent="0.35">
      <c r="A3" s="157" t="s">
        <v>128</v>
      </c>
      <c r="B3" s="676" t="s">
        <v>434</v>
      </c>
      <c r="C3" s="676"/>
      <c r="D3" s="676"/>
      <c r="E3" s="676"/>
      <c r="F3" s="676" t="s">
        <v>435</v>
      </c>
      <c r="G3" s="676"/>
      <c r="H3" s="676"/>
      <c r="I3" s="676"/>
      <c r="J3" s="676" t="s">
        <v>434</v>
      </c>
      <c r="K3" s="676"/>
      <c r="L3" s="676"/>
      <c r="M3" s="676" t="s">
        <v>435</v>
      </c>
      <c r="N3" s="676"/>
      <c r="O3" s="676"/>
    </row>
    <row r="4" spans="1:15" s="6" customFormat="1" ht="29.9" customHeight="1" x14ac:dyDescent="0.35">
      <c r="A4" s="157"/>
      <c r="B4" s="28" t="s">
        <v>436</v>
      </c>
      <c r="C4" s="28" t="s">
        <v>437</v>
      </c>
      <c r="D4" s="28" t="s">
        <v>438</v>
      </c>
      <c r="E4" s="28" t="s">
        <v>129</v>
      </c>
      <c r="F4" s="28" t="s">
        <v>436</v>
      </c>
      <c r="G4" s="28" t="s">
        <v>437</v>
      </c>
      <c r="H4" s="28" t="s">
        <v>438</v>
      </c>
      <c r="I4" s="28" t="s">
        <v>129</v>
      </c>
      <c r="J4" s="28" t="s">
        <v>450</v>
      </c>
      <c r="K4" s="28" t="s">
        <v>451</v>
      </c>
      <c r="L4" s="28" t="s">
        <v>161</v>
      </c>
      <c r="M4" s="28" t="s">
        <v>450</v>
      </c>
      <c r="N4" s="28" t="s">
        <v>451</v>
      </c>
      <c r="O4" s="28" t="s">
        <v>161</v>
      </c>
    </row>
    <row r="5" spans="1:15" x14ac:dyDescent="0.35">
      <c r="A5" t="s">
        <v>71</v>
      </c>
      <c r="B5" s="76">
        <f>J5*365</f>
        <v>0</v>
      </c>
      <c r="C5" s="76">
        <f>K5*365</f>
        <v>892466610</v>
      </c>
      <c r="D5" s="76">
        <f>L5*365</f>
        <v>892466610</v>
      </c>
      <c r="E5" s="154">
        <f>C5/D5</f>
        <v>1</v>
      </c>
      <c r="F5" s="76">
        <f t="shared" ref="F5:F21" si="0">M5*365</f>
        <v>60347640</v>
      </c>
      <c r="G5" s="76">
        <f t="shared" ref="G5:H20" si="1">N5*365</f>
        <v>877596145</v>
      </c>
      <c r="H5" s="76">
        <f t="shared" si="1"/>
        <v>937943785</v>
      </c>
      <c r="I5" s="154">
        <f>G5/H5</f>
        <v>0.93565964083870978</v>
      </c>
      <c r="J5" s="274"/>
      <c r="K5" s="275">
        <v>2445114</v>
      </c>
      <c r="L5" s="97">
        <f>+SUM(J5:K5)</f>
        <v>2445114</v>
      </c>
      <c r="M5" s="275">
        <v>165336</v>
      </c>
      <c r="N5" s="275">
        <v>2404373</v>
      </c>
      <c r="O5" s="97">
        <f>+SUM(M5:N5)</f>
        <v>2569709</v>
      </c>
    </row>
    <row r="6" spans="1:15" x14ac:dyDescent="0.35">
      <c r="A6" t="s">
        <v>72</v>
      </c>
      <c r="B6" s="76">
        <f t="shared" ref="B6:D32" si="2">J6*365</f>
        <v>0</v>
      </c>
      <c r="C6" s="76">
        <f t="shared" si="2"/>
        <v>1827554635</v>
      </c>
      <c r="D6" s="76">
        <f t="shared" si="2"/>
        <v>1827554635</v>
      </c>
      <c r="E6" s="154">
        <f t="shared" ref="E6:E32" si="3">C6/D6</f>
        <v>1</v>
      </c>
      <c r="F6" s="76">
        <f t="shared" si="0"/>
        <v>50746315</v>
      </c>
      <c r="G6" s="76">
        <f t="shared" si="1"/>
        <v>1611746925</v>
      </c>
      <c r="H6" s="76">
        <f t="shared" si="1"/>
        <v>1662493240</v>
      </c>
      <c r="I6" s="154">
        <f t="shared" ref="I6:I32" si="4">G6/H6</f>
        <v>0.96947577663533835</v>
      </c>
      <c r="J6" s="274"/>
      <c r="K6" s="275">
        <v>5006999</v>
      </c>
      <c r="L6" s="97">
        <f t="shared" ref="L6:L30" si="5">+SUM(J6:K6)</f>
        <v>5006999</v>
      </c>
      <c r="M6" s="275">
        <v>139031</v>
      </c>
      <c r="N6" s="275">
        <v>4415745</v>
      </c>
      <c r="O6" s="97">
        <f t="shared" ref="O6:O31" si="6">+SUM(M6:N6)</f>
        <v>4554776</v>
      </c>
    </row>
    <row r="7" spans="1:15" x14ac:dyDescent="0.35">
      <c r="A7" t="s">
        <v>73</v>
      </c>
      <c r="B7" s="76">
        <f t="shared" si="2"/>
        <v>2018566435</v>
      </c>
      <c r="C7" s="76">
        <f t="shared" si="2"/>
        <v>8289408420</v>
      </c>
      <c r="D7" s="76">
        <f t="shared" si="2"/>
        <v>10307974855</v>
      </c>
      <c r="E7" s="154">
        <f t="shared" si="3"/>
        <v>0.80417429578605626</v>
      </c>
      <c r="F7" s="76">
        <f t="shared" si="0"/>
        <v>1210571410</v>
      </c>
      <c r="G7" s="76">
        <f t="shared" si="1"/>
        <v>16830478500</v>
      </c>
      <c r="H7" s="76">
        <f t="shared" si="1"/>
        <v>18041049910</v>
      </c>
      <c r="I7" s="154">
        <f t="shared" si="4"/>
        <v>0.93289905986408306</v>
      </c>
      <c r="J7" s="275">
        <v>5530319</v>
      </c>
      <c r="K7" s="275">
        <v>22710708</v>
      </c>
      <c r="L7" s="97">
        <f t="shared" si="5"/>
        <v>28241027</v>
      </c>
      <c r="M7" s="275">
        <v>3316634</v>
      </c>
      <c r="N7" s="275">
        <v>46110900</v>
      </c>
      <c r="O7" s="97">
        <f t="shared" si="6"/>
        <v>49427534</v>
      </c>
    </row>
    <row r="8" spans="1:15" x14ac:dyDescent="0.35">
      <c r="A8" t="s">
        <v>74</v>
      </c>
      <c r="B8" s="76">
        <f t="shared" si="2"/>
        <v>0</v>
      </c>
      <c r="C8" s="76">
        <f t="shared" si="2"/>
        <v>3966186360</v>
      </c>
      <c r="D8" s="76">
        <f t="shared" si="2"/>
        <v>3966186360</v>
      </c>
      <c r="E8" s="154">
        <f t="shared" si="3"/>
        <v>1</v>
      </c>
      <c r="F8" s="76">
        <f t="shared" si="0"/>
        <v>202711510</v>
      </c>
      <c r="G8" s="76">
        <f t="shared" si="1"/>
        <v>3708528845</v>
      </c>
      <c r="H8" s="76">
        <f t="shared" si="1"/>
        <v>3911240355</v>
      </c>
      <c r="I8" s="154">
        <f t="shared" si="4"/>
        <v>0.94817206522711894</v>
      </c>
      <c r="J8" s="275"/>
      <c r="K8" s="275">
        <v>10866264</v>
      </c>
      <c r="L8" s="97">
        <f t="shared" si="5"/>
        <v>10866264</v>
      </c>
      <c r="M8" s="275">
        <v>555374</v>
      </c>
      <c r="N8" s="275">
        <v>10160353</v>
      </c>
      <c r="O8" s="97">
        <f t="shared" si="6"/>
        <v>10715727</v>
      </c>
    </row>
    <row r="9" spans="1:15" x14ac:dyDescent="0.35">
      <c r="A9" t="s">
        <v>75</v>
      </c>
      <c r="B9" s="76">
        <f t="shared" si="2"/>
        <v>42057490</v>
      </c>
      <c r="C9" s="76">
        <f t="shared" si="2"/>
        <v>1783718500</v>
      </c>
      <c r="D9" s="76">
        <f t="shared" si="2"/>
        <v>1825775990</v>
      </c>
      <c r="E9" s="154">
        <f t="shared" si="3"/>
        <v>0.97696459465435292</v>
      </c>
      <c r="F9" s="76">
        <f t="shared" si="0"/>
        <v>265066650</v>
      </c>
      <c r="G9" s="76">
        <f t="shared" si="1"/>
        <v>1649461280</v>
      </c>
      <c r="H9" s="76">
        <f t="shared" si="1"/>
        <v>1914527930</v>
      </c>
      <c r="I9" s="154">
        <f t="shared" si="4"/>
        <v>0.86154986519313925</v>
      </c>
      <c r="J9" s="275">
        <v>115226</v>
      </c>
      <c r="K9" s="275">
        <v>4886900</v>
      </c>
      <c r="L9" s="97">
        <f t="shared" si="5"/>
        <v>5002126</v>
      </c>
      <c r="M9" s="275">
        <v>726210</v>
      </c>
      <c r="N9" s="275">
        <v>4519072</v>
      </c>
      <c r="O9" s="97">
        <f t="shared" si="6"/>
        <v>5245282</v>
      </c>
    </row>
    <row r="10" spans="1:15" x14ac:dyDescent="0.35">
      <c r="A10" t="s">
        <v>76</v>
      </c>
      <c r="B10" s="76">
        <f t="shared" si="2"/>
        <v>0</v>
      </c>
      <c r="C10" s="76">
        <f t="shared" si="2"/>
        <v>0</v>
      </c>
      <c r="D10" s="76"/>
      <c r="E10" s="154"/>
      <c r="F10" s="76">
        <f t="shared" si="0"/>
        <v>135163880</v>
      </c>
      <c r="G10" s="76">
        <f t="shared" si="1"/>
        <v>1831085280</v>
      </c>
      <c r="H10" s="76">
        <f t="shared" si="1"/>
        <v>1966249160</v>
      </c>
      <c r="I10" s="154">
        <f t="shared" si="4"/>
        <v>0.93125801004792297</v>
      </c>
      <c r="J10" s="274"/>
      <c r="K10" s="274"/>
      <c r="L10" s="97"/>
      <c r="M10" s="275">
        <v>370312</v>
      </c>
      <c r="N10" s="275">
        <v>5016672</v>
      </c>
      <c r="O10" s="97">
        <f t="shared" si="6"/>
        <v>5386984</v>
      </c>
    </row>
    <row r="11" spans="1:15" x14ac:dyDescent="0.35">
      <c r="A11" t="s">
        <v>77</v>
      </c>
      <c r="B11" s="76">
        <f t="shared" si="2"/>
        <v>8223815</v>
      </c>
      <c r="C11" s="76">
        <f t="shared" si="2"/>
        <v>1086037790</v>
      </c>
      <c r="D11" s="76">
        <f t="shared" si="2"/>
        <v>1094261605</v>
      </c>
      <c r="E11" s="154">
        <f t="shared" si="3"/>
        <v>0.99248459878111139</v>
      </c>
      <c r="F11" s="76">
        <f t="shared" si="0"/>
        <v>154814385</v>
      </c>
      <c r="G11" s="76">
        <f t="shared" si="1"/>
        <v>2856977275</v>
      </c>
      <c r="H11" s="76">
        <f t="shared" si="1"/>
        <v>3011791660</v>
      </c>
      <c r="I11" s="154">
        <f t="shared" si="4"/>
        <v>0.9485972462650355</v>
      </c>
      <c r="J11" s="274">
        <v>22531</v>
      </c>
      <c r="K11" s="275">
        <v>2975446</v>
      </c>
      <c r="L11" s="97">
        <f t="shared" si="5"/>
        <v>2997977</v>
      </c>
      <c r="M11" s="275">
        <v>424149</v>
      </c>
      <c r="N11" s="275">
        <v>7827335</v>
      </c>
      <c r="O11" s="97">
        <f t="shared" si="6"/>
        <v>8251484</v>
      </c>
    </row>
    <row r="12" spans="1:15" x14ac:dyDescent="0.35">
      <c r="A12" t="s">
        <v>78</v>
      </c>
      <c r="B12" s="76">
        <f t="shared" si="2"/>
        <v>6780713405</v>
      </c>
      <c r="C12" s="76">
        <f t="shared" si="2"/>
        <v>38535454620</v>
      </c>
      <c r="D12" s="76">
        <f t="shared" si="2"/>
        <v>45316168025</v>
      </c>
      <c r="E12" s="154">
        <f t="shared" si="3"/>
        <v>0.85036878225759915</v>
      </c>
      <c r="F12" s="76">
        <f t="shared" si="0"/>
        <v>4915959065</v>
      </c>
      <c r="G12" s="76">
        <f t="shared" si="1"/>
        <v>43503384210</v>
      </c>
      <c r="H12" s="76">
        <f t="shared" si="1"/>
        <v>48419343275</v>
      </c>
      <c r="I12" s="154">
        <f t="shared" si="4"/>
        <v>0.89847117427678491</v>
      </c>
      <c r="J12" s="275">
        <v>18577297</v>
      </c>
      <c r="K12" s="275">
        <v>105576588</v>
      </c>
      <c r="L12" s="97">
        <f t="shared" si="5"/>
        <v>124153885</v>
      </c>
      <c r="M12" s="275">
        <v>13468381</v>
      </c>
      <c r="N12" s="275">
        <v>119187354</v>
      </c>
      <c r="O12" s="97">
        <f t="shared" si="6"/>
        <v>132655735</v>
      </c>
    </row>
    <row r="13" spans="1:15" x14ac:dyDescent="0.35">
      <c r="A13" t="s">
        <v>79</v>
      </c>
      <c r="B13" s="76">
        <f t="shared" si="2"/>
        <v>66443505</v>
      </c>
      <c r="C13" s="76">
        <f t="shared" si="2"/>
        <v>4245811765</v>
      </c>
      <c r="D13" s="76">
        <f t="shared" si="2"/>
        <v>4312255270</v>
      </c>
      <c r="E13" s="154">
        <f t="shared" si="3"/>
        <v>0.98459193604278439</v>
      </c>
      <c r="F13" s="76">
        <f t="shared" si="0"/>
        <v>703381280</v>
      </c>
      <c r="G13" s="76">
        <f t="shared" si="1"/>
        <v>4737063075</v>
      </c>
      <c r="H13" s="76">
        <f t="shared" si="1"/>
        <v>5440444355</v>
      </c>
      <c r="I13" s="154">
        <f t="shared" si="4"/>
        <v>0.87071253116419389</v>
      </c>
      <c r="J13" s="275">
        <v>182037</v>
      </c>
      <c r="K13" s="275">
        <v>11632361</v>
      </c>
      <c r="L13" s="97">
        <f t="shared" si="5"/>
        <v>11814398</v>
      </c>
      <c r="M13" s="275">
        <v>1927072</v>
      </c>
      <c r="N13" s="275">
        <v>12978255</v>
      </c>
      <c r="O13" s="97">
        <f t="shared" si="6"/>
        <v>14905327</v>
      </c>
    </row>
    <row r="14" spans="1:15" x14ac:dyDescent="0.35">
      <c r="A14" t="s">
        <v>80</v>
      </c>
      <c r="B14" s="76">
        <f t="shared" si="2"/>
        <v>0</v>
      </c>
      <c r="C14" s="76">
        <f t="shared" si="2"/>
        <v>2699915220</v>
      </c>
      <c r="D14" s="76">
        <f t="shared" si="2"/>
        <v>2699915220</v>
      </c>
      <c r="E14" s="154">
        <f t="shared" si="3"/>
        <v>1</v>
      </c>
      <c r="F14" s="76">
        <f t="shared" si="0"/>
        <v>106294935</v>
      </c>
      <c r="G14" s="76">
        <f t="shared" si="1"/>
        <v>849051685</v>
      </c>
      <c r="H14" s="76">
        <f t="shared" si="1"/>
        <v>955346620</v>
      </c>
      <c r="I14" s="154">
        <f t="shared" si="4"/>
        <v>0.88873678644511245</v>
      </c>
      <c r="J14" s="274"/>
      <c r="K14" s="275">
        <v>7397028</v>
      </c>
      <c r="L14" s="97">
        <f t="shared" si="5"/>
        <v>7397028</v>
      </c>
      <c r="M14" s="275">
        <v>291219</v>
      </c>
      <c r="N14" s="275">
        <v>2326169</v>
      </c>
      <c r="O14" s="97">
        <f t="shared" si="6"/>
        <v>2617388</v>
      </c>
    </row>
    <row r="15" spans="1:15" x14ac:dyDescent="0.35">
      <c r="A15" t="s">
        <v>81</v>
      </c>
      <c r="B15" s="76">
        <f t="shared" si="2"/>
        <v>288228090</v>
      </c>
      <c r="C15" s="76">
        <f t="shared" si="2"/>
        <v>5756788760</v>
      </c>
      <c r="D15" s="76">
        <f t="shared" si="2"/>
        <v>6045016850</v>
      </c>
      <c r="E15" s="154">
        <f t="shared" si="3"/>
        <v>0.95231972099465689</v>
      </c>
      <c r="F15" s="76">
        <f t="shared" si="0"/>
        <v>532012685</v>
      </c>
      <c r="G15" s="76">
        <f t="shared" si="1"/>
        <v>7525845575</v>
      </c>
      <c r="H15" s="76">
        <f t="shared" si="1"/>
        <v>8057858260</v>
      </c>
      <c r="I15" s="154">
        <f t="shared" si="4"/>
        <v>0.93397591917929812</v>
      </c>
      <c r="J15" s="275">
        <v>789666</v>
      </c>
      <c r="K15" s="275">
        <v>15772024</v>
      </c>
      <c r="L15" s="97">
        <f t="shared" si="5"/>
        <v>16561690</v>
      </c>
      <c r="M15" s="275">
        <v>1457569</v>
      </c>
      <c r="N15" s="275">
        <v>20618755</v>
      </c>
      <c r="O15" s="97">
        <f t="shared" si="6"/>
        <v>22076324</v>
      </c>
    </row>
    <row r="16" spans="1:15" x14ac:dyDescent="0.35">
      <c r="A16" t="s">
        <v>82</v>
      </c>
      <c r="B16" s="76">
        <f t="shared" si="2"/>
        <v>6948022835</v>
      </c>
      <c r="C16" s="76">
        <f t="shared" si="2"/>
        <v>43011919740</v>
      </c>
      <c r="D16" s="76">
        <f t="shared" si="2"/>
        <v>49959942575</v>
      </c>
      <c r="E16" s="154">
        <f t="shared" si="3"/>
        <v>0.86092812607681424</v>
      </c>
      <c r="F16" s="76">
        <f t="shared" si="0"/>
        <v>4160834655</v>
      </c>
      <c r="G16" s="76">
        <f t="shared" si="1"/>
        <v>35707928830</v>
      </c>
      <c r="H16" s="76">
        <f t="shared" si="1"/>
        <v>39868763485</v>
      </c>
      <c r="I16" s="154">
        <f t="shared" si="4"/>
        <v>0.89563672681834117</v>
      </c>
      <c r="J16" s="275">
        <v>19035679</v>
      </c>
      <c r="K16" s="275">
        <v>117840876</v>
      </c>
      <c r="L16" s="97">
        <f t="shared" si="5"/>
        <v>136876555</v>
      </c>
      <c r="M16" s="275">
        <v>11399547</v>
      </c>
      <c r="N16" s="275">
        <v>97829942</v>
      </c>
      <c r="O16" s="97">
        <f t="shared" si="6"/>
        <v>109229489</v>
      </c>
    </row>
    <row r="17" spans="1:17" x14ac:dyDescent="0.35">
      <c r="A17" t="s">
        <v>83</v>
      </c>
      <c r="B17" s="76">
        <f t="shared" si="2"/>
        <v>10406880</v>
      </c>
      <c r="C17" s="76">
        <f t="shared" si="2"/>
        <v>4701325195</v>
      </c>
      <c r="D17" s="76">
        <f t="shared" si="2"/>
        <v>4711732075</v>
      </c>
      <c r="E17" s="154">
        <f t="shared" si="3"/>
        <v>0.99779128358014713</v>
      </c>
      <c r="F17" s="76">
        <f t="shared" si="0"/>
        <v>136084775</v>
      </c>
      <c r="G17" s="76">
        <f t="shared" si="1"/>
        <v>1660717880</v>
      </c>
      <c r="H17" s="76">
        <f t="shared" si="1"/>
        <v>1796802655</v>
      </c>
      <c r="I17" s="154">
        <f t="shared" si="4"/>
        <v>0.9242628150502149</v>
      </c>
      <c r="J17" s="275">
        <v>28512</v>
      </c>
      <c r="K17" s="275">
        <v>12880343</v>
      </c>
      <c r="L17" s="97">
        <f t="shared" si="5"/>
        <v>12908855</v>
      </c>
      <c r="M17" s="275">
        <v>372835</v>
      </c>
      <c r="N17" s="275">
        <v>4549912</v>
      </c>
      <c r="O17" s="97">
        <f t="shared" si="6"/>
        <v>4922747</v>
      </c>
    </row>
    <row r="18" spans="1:17" x14ac:dyDescent="0.35">
      <c r="A18" t="s">
        <v>84</v>
      </c>
      <c r="B18" s="76">
        <f t="shared" si="2"/>
        <v>34396505</v>
      </c>
      <c r="C18" s="76">
        <f t="shared" si="2"/>
        <v>954155990</v>
      </c>
      <c r="D18" s="76">
        <f t="shared" si="2"/>
        <v>988552495</v>
      </c>
      <c r="E18" s="154">
        <f t="shared" si="3"/>
        <v>0.96520518113709275</v>
      </c>
      <c r="F18" s="76">
        <f t="shared" si="0"/>
        <v>154249365</v>
      </c>
      <c r="G18" s="76">
        <f t="shared" si="1"/>
        <v>1158903105</v>
      </c>
      <c r="H18" s="76">
        <f t="shared" si="1"/>
        <v>1313152470</v>
      </c>
      <c r="I18" s="154">
        <f t="shared" si="4"/>
        <v>0.88253506845248519</v>
      </c>
      <c r="J18" s="275">
        <v>94237</v>
      </c>
      <c r="K18" s="275">
        <v>2614126</v>
      </c>
      <c r="L18" s="97">
        <f t="shared" si="5"/>
        <v>2708363</v>
      </c>
      <c r="M18" s="275">
        <v>422601</v>
      </c>
      <c r="N18" s="275">
        <v>3175077</v>
      </c>
      <c r="O18" s="97">
        <f t="shared" si="6"/>
        <v>3597678</v>
      </c>
    </row>
    <row r="19" spans="1:17" x14ac:dyDescent="0.35">
      <c r="A19" t="s">
        <v>85</v>
      </c>
      <c r="B19" s="76">
        <f t="shared" si="2"/>
        <v>0</v>
      </c>
      <c r="C19" s="76">
        <f t="shared" si="2"/>
        <v>833642480</v>
      </c>
      <c r="D19" s="76">
        <f t="shared" si="2"/>
        <v>833642480</v>
      </c>
      <c r="E19" s="154">
        <f t="shared" si="3"/>
        <v>1</v>
      </c>
      <c r="F19" s="76">
        <f t="shared" si="0"/>
        <v>47594175</v>
      </c>
      <c r="G19" s="76">
        <f t="shared" si="1"/>
        <v>1100052695</v>
      </c>
      <c r="H19" s="76">
        <f t="shared" si="1"/>
        <v>1147646870</v>
      </c>
      <c r="I19" s="154">
        <f t="shared" si="4"/>
        <v>0.95852890271029101</v>
      </c>
      <c r="J19" s="274"/>
      <c r="K19" s="275">
        <v>2283952</v>
      </c>
      <c r="L19" s="97">
        <f t="shared" si="5"/>
        <v>2283952</v>
      </c>
      <c r="M19" s="275">
        <v>130395</v>
      </c>
      <c r="N19" s="275">
        <v>3013843</v>
      </c>
      <c r="O19" s="97">
        <f t="shared" si="6"/>
        <v>3144238</v>
      </c>
    </row>
    <row r="20" spans="1:17" x14ac:dyDescent="0.35">
      <c r="A20" t="s">
        <v>86</v>
      </c>
      <c r="B20" s="76">
        <f t="shared" si="2"/>
        <v>0</v>
      </c>
      <c r="C20" s="76">
        <f t="shared" si="2"/>
        <v>390010165</v>
      </c>
      <c r="D20" s="76">
        <f t="shared" si="2"/>
        <v>390010165</v>
      </c>
      <c r="E20" s="154">
        <f t="shared" si="3"/>
        <v>1</v>
      </c>
      <c r="F20" s="76">
        <f t="shared" si="0"/>
        <v>379925215</v>
      </c>
      <c r="G20" s="76">
        <f t="shared" si="1"/>
        <v>2058759140</v>
      </c>
      <c r="H20" s="76">
        <f t="shared" si="1"/>
        <v>2438684355</v>
      </c>
      <c r="I20" s="154">
        <f t="shared" si="4"/>
        <v>0.84420894232537935</v>
      </c>
      <c r="J20" s="274"/>
      <c r="K20" s="275">
        <v>1068521</v>
      </c>
      <c r="L20" s="97">
        <f t="shared" si="5"/>
        <v>1068521</v>
      </c>
      <c r="M20" s="275">
        <v>1040891</v>
      </c>
      <c r="N20" s="275">
        <v>5640436</v>
      </c>
      <c r="O20" s="97">
        <f t="shared" si="6"/>
        <v>6681327</v>
      </c>
    </row>
    <row r="21" spans="1:17" x14ac:dyDescent="0.35">
      <c r="A21" t="s">
        <v>87</v>
      </c>
      <c r="B21" s="76">
        <f t="shared" si="2"/>
        <v>0</v>
      </c>
      <c r="C21" s="76">
        <f t="shared" si="2"/>
        <v>2303896060</v>
      </c>
      <c r="D21" s="76">
        <f t="shared" si="2"/>
        <v>2303896060</v>
      </c>
      <c r="E21" s="154">
        <f t="shared" si="3"/>
        <v>1</v>
      </c>
      <c r="F21" s="76">
        <f t="shared" si="0"/>
        <v>143718385</v>
      </c>
      <c r="G21" s="76">
        <f>N21*365</f>
        <v>3155853875</v>
      </c>
      <c r="H21" s="76">
        <f>O21*365</f>
        <v>3299572260</v>
      </c>
      <c r="I21" s="154">
        <f t="shared" si="4"/>
        <v>0.95644332850585911</v>
      </c>
      <c r="J21" s="275"/>
      <c r="K21" s="275">
        <v>6312044</v>
      </c>
      <c r="L21" s="97">
        <f t="shared" si="5"/>
        <v>6312044</v>
      </c>
      <c r="M21" s="275">
        <v>393749</v>
      </c>
      <c r="N21" s="275">
        <v>8646175</v>
      </c>
      <c r="O21" s="97">
        <f t="shared" si="6"/>
        <v>9039924</v>
      </c>
    </row>
    <row r="22" spans="1:17" x14ac:dyDescent="0.35">
      <c r="A22" t="s">
        <v>88</v>
      </c>
      <c r="B22" s="76">
        <f t="shared" si="2"/>
        <v>0</v>
      </c>
      <c r="C22" s="76">
        <f t="shared" si="2"/>
        <v>0</v>
      </c>
      <c r="D22" s="76"/>
      <c r="E22" s="154"/>
      <c r="F22" s="76">
        <f t="shared" ref="F22:H31" si="7">M22*365</f>
        <v>49356395</v>
      </c>
      <c r="G22" s="76">
        <f t="shared" si="7"/>
        <v>661348975</v>
      </c>
      <c r="H22" s="76">
        <f t="shared" si="7"/>
        <v>710705370</v>
      </c>
      <c r="I22" s="154">
        <f t="shared" si="4"/>
        <v>0.93055294488628948</v>
      </c>
      <c r="J22" s="274"/>
      <c r="K22" s="274"/>
      <c r="L22" s="97"/>
      <c r="M22" s="275">
        <v>135223</v>
      </c>
      <c r="N22" s="275">
        <v>1811915</v>
      </c>
      <c r="O22" s="97">
        <f t="shared" si="6"/>
        <v>1947138</v>
      </c>
    </row>
    <row r="23" spans="1:17" x14ac:dyDescent="0.35">
      <c r="A23" t="s">
        <v>233</v>
      </c>
      <c r="B23" s="76">
        <f t="shared" si="2"/>
        <v>1060076435</v>
      </c>
      <c r="C23" s="76">
        <f t="shared" si="2"/>
        <v>18203791730</v>
      </c>
      <c r="D23" s="76">
        <f t="shared" si="2"/>
        <v>19263868165</v>
      </c>
      <c r="E23" s="154">
        <f t="shared" si="3"/>
        <v>0.94497073869483683</v>
      </c>
      <c r="F23" s="76">
        <f t="shared" si="7"/>
        <v>1770336505</v>
      </c>
      <c r="G23" s="76">
        <f t="shared" si="7"/>
        <v>9604794690</v>
      </c>
      <c r="H23" s="76">
        <f t="shared" si="7"/>
        <v>11375131195</v>
      </c>
      <c r="I23" s="154">
        <f t="shared" si="4"/>
        <v>0.84436781654191728</v>
      </c>
      <c r="J23" s="275">
        <v>2904319</v>
      </c>
      <c r="K23" s="275">
        <v>49873402</v>
      </c>
      <c r="L23" s="97">
        <f t="shared" si="5"/>
        <v>52777721</v>
      </c>
      <c r="M23" s="275">
        <v>4850237</v>
      </c>
      <c r="N23" s="275">
        <v>26314506</v>
      </c>
      <c r="O23" s="97">
        <f t="shared" si="6"/>
        <v>31164743</v>
      </c>
    </row>
    <row r="24" spans="1:17" x14ac:dyDescent="0.35">
      <c r="A24" t="s">
        <v>90</v>
      </c>
      <c r="B24" s="76">
        <f t="shared" si="2"/>
        <v>0</v>
      </c>
      <c r="C24" s="76">
        <f t="shared" si="2"/>
        <v>0</v>
      </c>
      <c r="D24" s="76"/>
      <c r="E24" s="154"/>
      <c r="F24" s="76">
        <f t="shared" si="7"/>
        <v>14160905</v>
      </c>
      <c r="G24" s="76">
        <f t="shared" si="7"/>
        <v>2151974300</v>
      </c>
      <c r="H24" s="76">
        <f t="shared" si="7"/>
        <v>2166135205</v>
      </c>
      <c r="I24" s="154">
        <f t="shared" si="4"/>
        <v>0.99346259413202231</v>
      </c>
      <c r="J24" s="274"/>
      <c r="K24" s="274"/>
      <c r="L24" s="97"/>
      <c r="M24" s="275">
        <v>38797</v>
      </c>
      <c r="N24" s="275">
        <v>5895820</v>
      </c>
      <c r="O24" s="97">
        <f t="shared" si="6"/>
        <v>5934617</v>
      </c>
    </row>
    <row r="25" spans="1:17" x14ac:dyDescent="0.35">
      <c r="A25" t="s">
        <v>91</v>
      </c>
      <c r="B25" s="76">
        <f t="shared" si="2"/>
        <v>0</v>
      </c>
      <c r="C25" s="76">
        <f t="shared" si="2"/>
        <v>663246975</v>
      </c>
      <c r="D25" s="76">
        <f t="shared" si="2"/>
        <v>663246975</v>
      </c>
      <c r="E25" s="154">
        <f t="shared" si="3"/>
        <v>1</v>
      </c>
      <c r="F25" s="76">
        <f t="shared" si="7"/>
        <v>41191710</v>
      </c>
      <c r="G25" s="76">
        <f t="shared" si="7"/>
        <v>562266805</v>
      </c>
      <c r="H25" s="76">
        <f t="shared" si="7"/>
        <v>603458515</v>
      </c>
      <c r="I25" s="154">
        <f t="shared" si="4"/>
        <v>0.93174061020582333</v>
      </c>
      <c r="J25" s="274"/>
      <c r="K25" s="275">
        <v>1817115</v>
      </c>
      <c r="L25" s="97">
        <f t="shared" si="5"/>
        <v>1817115</v>
      </c>
      <c r="M25" s="275">
        <v>112854</v>
      </c>
      <c r="N25" s="275">
        <v>1540457</v>
      </c>
      <c r="O25" s="97">
        <f t="shared" si="6"/>
        <v>1653311</v>
      </c>
    </row>
    <row r="26" spans="1:17" x14ac:dyDescent="0.35">
      <c r="A26" t="s">
        <v>92</v>
      </c>
      <c r="B26" s="76">
        <f t="shared" si="2"/>
        <v>0</v>
      </c>
      <c r="C26" s="76">
        <f t="shared" si="2"/>
        <v>1711937600</v>
      </c>
      <c r="D26" s="76">
        <f t="shared" si="2"/>
        <v>1711937600</v>
      </c>
      <c r="E26" s="154">
        <f t="shared" si="3"/>
        <v>1</v>
      </c>
      <c r="F26" s="76">
        <f t="shared" si="7"/>
        <v>113565005</v>
      </c>
      <c r="G26" s="76">
        <f t="shared" si="7"/>
        <v>2280516350</v>
      </c>
      <c r="H26" s="76">
        <f t="shared" si="7"/>
        <v>2394081355</v>
      </c>
      <c r="I26" s="154">
        <f t="shared" si="4"/>
        <v>0.95256426655559501</v>
      </c>
      <c r="J26" s="276"/>
      <c r="K26" s="277">
        <v>4690240</v>
      </c>
      <c r="L26" s="97">
        <f t="shared" si="5"/>
        <v>4690240</v>
      </c>
      <c r="M26" s="275">
        <v>311137</v>
      </c>
      <c r="N26" s="275">
        <v>6247990</v>
      </c>
      <c r="O26" s="97">
        <f t="shared" si="6"/>
        <v>6559127</v>
      </c>
    </row>
    <row r="27" spans="1:17" x14ac:dyDescent="0.35">
      <c r="A27" t="s">
        <v>93</v>
      </c>
      <c r="B27" s="76">
        <f t="shared" si="2"/>
        <v>0</v>
      </c>
      <c r="C27" s="76">
        <f t="shared" si="2"/>
        <v>0</v>
      </c>
      <c r="D27" s="76"/>
      <c r="E27" s="154"/>
      <c r="F27" s="76">
        <f t="shared" si="7"/>
        <v>17439700</v>
      </c>
      <c r="G27" s="76">
        <f t="shared" si="7"/>
        <v>1929620315</v>
      </c>
      <c r="H27" s="76">
        <f t="shared" si="7"/>
        <v>1947060015</v>
      </c>
      <c r="I27" s="154">
        <f t="shared" si="4"/>
        <v>0.9910430598617167</v>
      </c>
      <c r="J27" s="274"/>
      <c r="K27" s="274"/>
      <c r="L27" s="97"/>
      <c r="M27" s="275">
        <v>47780</v>
      </c>
      <c r="N27" s="275">
        <v>5286631</v>
      </c>
      <c r="O27" s="97">
        <f t="shared" si="6"/>
        <v>5334411</v>
      </c>
    </row>
    <row r="28" spans="1:17" x14ac:dyDescent="0.35">
      <c r="A28" t="s">
        <v>94</v>
      </c>
      <c r="B28" s="76">
        <f t="shared" si="2"/>
        <v>74712215</v>
      </c>
      <c r="C28" s="76">
        <f t="shared" si="2"/>
        <v>4854679945</v>
      </c>
      <c r="D28" s="76">
        <f t="shared" si="2"/>
        <v>4929392160</v>
      </c>
      <c r="E28" s="154">
        <f t="shared" si="3"/>
        <v>0.98484352379056816</v>
      </c>
      <c r="F28" s="76">
        <f t="shared" si="7"/>
        <v>91586530</v>
      </c>
      <c r="G28" s="76">
        <f t="shared" si="7"/>
        <v>1504667970</v>
      </c>
      <c r="H28" s="76">
        <f t="shared" si="7"/>
        <v>1596254500</v>
      </c>
      <c r="I28" s="154">
        <f t="shared" si="4"/>
        <v>0.94262410536665675</v>
      </c>
      <c r="J28" s="275">
        <v>204691</v>
      </c>
      <c r="K28" s="275">
        <v>13300493</v>
      </c>
      <c r="L28" s="97">
        <f t="shared" si="5"/>
        <v>13505184</v>
      </c>
      <c r="M28" s="275">
        <v>250922</v>
      </c>
      <c r="N28" s="275">
        <v>4122378</v>
      </c>
      <c r="O28" s="97">
        <f t="shared" si="6"/>
        <v>4373300</v>
      </c>
    </row>
    <row r="29" spans="1:17" x14ac:dyDescent="0.35">
      <c r="A29" t="s">
        <v>95</v>
      </c>
      <c r="B29" s="76">
        <f t="shared" si="2"/>
        <v>0</v>
      </c>
      <c r="C29" s="76">
        <f t="shared" si="2"/>
        <v>344887405</v>
      </c>
      <c r="D29" s="76">
        <f t="shared" si="2"/>
        <v>344887405</v>
      </c>
      <c r="E29" s="154">
        <f t="shared" si="3"/>
        <v>1</v>
      </c>
      <c r="F29" s="76">
        <f t="shared" si="7"/>
        <v>90694470</v>
      </c>
      <c r="G29" s="76">
        <f t="shared" si="7"/>
        <v>1077284725</v>
      </c>
      <c r="H29" s="76">
        <f t="shared" si="7"/>
        <v>1167979195</v>
      </c>
      <c r="I29" s="154">
        <f t="shared" si="4"/>
        <v>0.92234924184587042</v>
      </c>
      <c r="J29" s="274"/>
      <c r="K29" s="275">
        <v>944897</v>
      </c>
      <c r="L29" s="97">
        <f t="shared" si="5"/>
        <v>944897</v>
      </c>
      <c r="M29" s="275">
        <v>248478</v>
      </c>
      <c r="N29" s="275">
        <v>2951465</v>
      </c>
      <c r="O29" s="97">
        <f t="shared" si="6"/>
        <v>3199943</v>
      </c>
    </row>
    <row r="30" spans="1:17" x14ac:dyDescent="0.35">
      <c r="A30" s="278" t="s">
        <v>96</v>
      </c>
      <c r="B30" s="279">
        <f t="shared" si="2"/>
        <v>330285580</v>
      </c>
      <c r="C30" s="279">
        <f t="shared" si="2"/>
        <v>10240422480</v>
      </c>
      <c r="D30" s="279">
        <f t="shared" si="2"/>
        <v>10570708060</v>
      </c>
      <c r="E30" s="280">
        <f t="shared" si="3"/>
        <v>0.96875463988549504</v>
      </c>
      <c r="F30" s="279">
        <f>M30*365</f>
        <v>906465455</v>
      </c>
      <c r="G30" s="279">
        <f>N30*365</f>
        <v>10153149155</v>
      </c>
      <c r="H30" s="279">
        <f>O30*365</f>
        <v>11059614610</v>
      </c>
      <c r="I30" s="280">
        <f>G30/H30</f>
        <v>0.9180382421119464</v>
      </c>
      <c r="J30" s="281">
        <v>904892</v>
      </c>
      <c r="K30" s="282">
        <v>28055952</v>
      </c>
      <c r="L30" s="283">
        <f t="shared" si="5"/>
        <v>28960844</v>
      </c>
      <c r="M30" s="282">
        <v>2483467</v>
      </c>
      <c r="N30" s="282">
        <v>27816847</v>
      </c>
      <c r="O30" s="283">
        <f t="shared" si="6"/>
        <v>30300314</v>
      </c>
      <c r="Q30" s="18"/>
    </row>
    <row r="31" spans="1:17" x14ac:dyDescent="0.35">
      <c r="A31" t="s">
        <v>99</v>
      </c>
      <c r="B31" s="76">
        <f t="shared" si="2"/>
        <v>15908890</v>
      </c>
      <c r="C31" s="76">
        <f t="shared" si="2"/>
        <v>24332563670</v>
      </c>
      <c r="D31" s="76">
        <f t="shared" si="2"/>
        <v>24348472560</v>
      </c>
      <c r="E31" s="154">
        <f t="shared" si="3"/>
        <v>0.99934661650907275</v>
      </c>
      <c r="F31" s="76">
        <f t="shared" si="7"/>
        <v>375453235</v>
      </c>
      <c r="G31" s="76">
        <f t="shared" si="7"/>
        <v>30138405510</v>
      </c>
      <c r="H31" s="76">
        <f t="shared" si="7"/>
        <v>30513858745</v>
      </c>
      <c r="I31" s="154">
        <f t="shared" si="4"/>
        <v>0.98769564878248894</v>
      </c>
      <c r="J31" s="275">
        <v>43586</v>
      </c>
      <c r="K31" s="275">
        <v>66664558</v>
      </c>
      <c r="L31" s="97">
        <f>+J31++K31</f>
        <v>66708144</v>
      </c>
      <c r="M31" s="275">
        <v>1028639</v>
      </c>
      <c r="N31" s="275">
        <v>82570974</v>
      </c>
      <c r="O31" s="97">
        <f t="shared" si="6"/>
        <v>83599613</v>
      </c>
    </row>
    <row r="32" spans="1:17" x14ac:dyDescent="0.35">
      <c r="A32" t="s">
        <v>439</v>
      </c>
      <c r="B32" s="76">
        <f t="shared" si="2"/>
        <v>17347756500</v>
      </c>
      <c r="C32" s="76">
        <f t="shared" si="2"/>
        <v>171389399635</v>
      </c>
      <c r="D32" s="76">
        <f t="shared" si="2"/>
        <v>188737156135</v>
      </c>
      <c r="E32" s="154">
        <f t="shared" si="3"/>
        <v>0.90808510176135382</v>
      </c>
      <c r="F32" s="76">
        <f>M32*365</f>
        <v>15923260780</v>
      </c>
      <c r="G32" s="76">
        <f>N32*365</f>
        <v>180734313960</v>
      </c>
      <c r="H32" s="76">
        <f>O32*365</f>
        <v>196657574740</v>
      </c>
      <c r="I32" s="154">
        <f t="shared" si="4"/>
        <v>0.91903052399048413</v>
      </c>
      <c r="J32" s="97">
        <f t="shared" ref="J32:O32" si="8">SUM(J5:J29,J31)</f>
        <v>47528100</v>
      </c>
      <c r="K32" s="97">
        <f t="shared" si="8"/>
        <v>469559999</v>
      </c>
      <c r="L32" s="97">
        <f t="shared" si="8"/>
        <v>517088099</v>
      </c>
      <c r="M32" s="97">
        <f t="shared" si="8"/>
        <v>43625372</v>
      </c>
      <c r="N32" s="97">
        <f t="shared" si="8"/>
        <v>495162504</v>
      </c>
      <c r="O32" s="97">
        <f t="shared" si="8"/>
        <v>538787876</v>
      </c>
    </row>
    <row r="33" spans="1:15" s="32" customFormat="1" x14ac:dyDescent="0.35">
      <c r="B33" s="40"/>
      <c r="C33" s="40"/>
      <c r="D33" s="40"/>
      <c r="E33" s="30"/>
      <c r="F33" s="40"/>
      <c r="G33" s="40"/>
      <c r="H33" s="29"/>
      <c r="I33" s="30"/>
    </row>
    <row r="34" spans="1:15" s="5" customFormat="1" ht="15" customHeight="1" x14ac:dyDescent="0.35">
      <c r="A34" s="674" t="s">
        <v>128</v>
      </c>
      <c r="B34" s="675" t="s">
        <v>452</v>
      </c>
      <c r="C34" s="675"/>
      <c r="D34" s="675"/>
      <c r="E34" s="28"/>
      <c r="F34" s="46"/>
      <c r="G34" s="6"/>
      <c r="H34" s="6"/>
      <c r="I34" s="159"/>
      <c r="J34" s="46"/>
      <c r="K34" s="51"/>
      <c r="L34" s="51"/>
      <c r="N34" s="51"/>
      <c r="O34" s="51"/>
    </row>
    <row r="35" spans="1:15" s="5" customFormat="1" ht="15" customHeight="1" x14ac:dyDescent="0.35">
      <c r="A35" s="674"/>
      <c r="B35" s="6" t="s">
        <v>194</v>
      </c>
      <c r="C35" s="6" t="s">
        <v>127</v>
      </c>
      <c r="D35" s="6" t="s">
        <v>441</v>
      </c>
      <c r="E35" s="28"/>
      <c r="F35" s="46"/>
      <c r="G35" s="6"/>
      <c r="H35" s="6"/>
      <c r="I35" s="159"/>
      <c r="J35" s="46"/>
      <c r="K35" s="51"/>
      <c r="L35" s="51"/>
      <c r="N35" s="51"/>
      <c r="O35" s="51"/>
    </row>
    <row r="36" spans="1:15" s="3" customFormat="1" ht="14.9" customHeight="1" x14ac:dyDescent="0.35">
      <c r="A36" t="s">
        <v>71</v>
      </c>
      <c r="B36" s="287">
        <v>39.390999999999991</v>
      </c>
      <c r="C36" s="287">
        <v>42.268240000000006</v>
      </c>
      <c r="D36" s="16">
        <f>C36/B36</f>
        <v>1.0730430809068066</v>
      </c>
      <c r="E36" s="99"/>
      <c r="F36" s="99"/>
      <c r="G36" s="13"/>
      <c r="H36" s="22"/>
      <c r="I36" s="13"/>
      <c r="J36" s="4"/>
      <c r="K36" s="25"/>
      <c r="L36" s="14"/>
    </row>
    <row r="37" spans="1:15" x14ac:dyDescent="0.35">
      <c r="A37" t="s">
        <v>72</v>
      </c>
      <c r="B37" s="287">
        <v>110.584</v>
      </c>
      <c r="C37" s="287">
        <v>125.69360999999999</v>
      </c>
      <c r="D37" s="16">
        <f t="shared" ref="D37:D62" si="9">C37/B37</f>
        <v>1.1366346849453808</v>
      </c>
      <c r="E37" s="99"/>
      <c r="F37" s="99"/>
      <c r="G37" s="13"/>
      <c r="H37" s="22"/>
      <c r="I37" s="13"/>
      <c r="J37" s="4"/>
      <c r="K37" s="26"/>
      <c r="L37" s="73"/>
    </row>
    <row r="38" spans="1:15" x14ac:dyDescent="0.35">
      <c r="A38" t="s">
        <v>73</v>
      </c>
      <c r="B38" s="287">
        <v>183.22200000000001</v>
      </c>
      <c r="C38" s="287">
        <v>354.45773999999994</v>
      </c>
      <c r="D38" s="16">
        <f t="shared" si="9"/>
        <v>1.9345806726266492</v>
      </c>
      <c r="E38" s="99"/>
      <c r="F38" s="99"/>
      <c r="G38" s="13"/>
      <c r="H38" s="22"/>
      <c r="I38" s="13"/>
      <c r="J38" s="4"/>
      <c r="L38" s="72"/>
    </row>
    <row r="39" spans="1:15" x14ac:dyDescent="0.35">
      <c r="A39" t="s">
        <v>74</v>
      </c>
      <c r="B39" s="287">
        <v>107.51999999999997</v>
      </c>
      <c r="C39" s="287">
        <v>123.55644999999996</v>
      </c>
      <c r="D39" s="16">
        <f t="shared" si="9"/>
        <v>1.1491485305059523</v>
      </c>
      <c r="E39" s="99"/>
      <c r="F39" s="99"/>
      <c r="G39" s="13"/>
      <c r="H39" s="22"/>
      <c r="I39" s="13"/>
      <c r="J39" s="4"/>
      <c r="L39" s="27"/>
    </row>
    <row r="40" spans="1:15" x14ac:dyDescent="0.35">
      <c r="A40" t="s">
        <v>75</v>
      </c>
      <c r="B40" s="287">
        <v>96.043999999999997</v>
      </c>
      <c r="C40" s="287">
        <v>143.19580999999999</v>
      </c>
      <c r="D40" s="16">
        <f t="shared" si="9"/>
        <v>1.4909396734829869</v>
      </c>
      <c r="E40" s="99"/>
      <c r="F40" s="99"/>
      <c r="G40" s="13"/>
      <c r="H40" s="22"/>
      <c r="I40" s="13"/>
      <c r="J40" s="4"/>
      <c r="L40" s="27"/>
    </row>
    <row r="41" spans="1:15" x14ac:dyDescent="0.35">
      <c r="A41" t="s">
        <v>76</v>
      </c>
      <c r="B41" s="287"/>
      <c r="C41" s="287"/>
      <c r="D41" s="16"/>
      <c r="E41" s="99"/>
      <c r="F41" s="99"/>
      <c r="G41" s="13"/>
      <c r="H41" s="22"/>
      <c r="I41" s="13"/>
      <c r="J41" s="4"/>
      <c r="L41" s="27"/>
    </row>
    <row r="42" spans="1:15" x14ac:dyDescent="0.35">
      <c r="A42" t="s">
        <v>77</v>
      </c>
      <c r="B42" s="287">
        <v>43.564999999999998</v>
      </c>
      <c r="C42" s="287">
        <v>49.661470000000016</v>
      </c>
      <c r="D42" s="16">
        <f t="shared" si="9"/>
        <v>1.139939630437278</v>
      </c>
      <c r="E42" s="99"/>
      <c r="F42" s="99"/>
      <c r="G42" s="13"/>
      <c r="H42" s="22"/>
      <c r="I42" s="13"/>
      <c r="J42" s="4"/>
      <c r="L42" s="27"/>
    </row>
    <row r="43" spans="1:15" x14ac:dyDescent="0.35">
      <c r="A43" t="s">
        <v>78</v>
      </c>
      <c r="B43" s="287">
        <v>1140.0489999999984</v>
      </c>
      <c r="C43" s="287">
        <v>1825.5191200000029</v>
      </c>
      <c r="D43" s="16">
        <f t="shared" si="9"/>
        <v>1.6012637351552481</v>
      </c>
      <c r="E43" s="99"/>
      <c r="F43" s="99"/>
      <c r="G43" s="13"/>
      <c r="H43" s="22"/>
      <c r="I43" s="13"/>
      <c r="J43" s="4"/>
      <c r="L43" s="27"/>
    </row>
    <row r="44" spans="1:15" x14ac:dyDescent="0.35">
      <c r="A44" t="s">
        <v>79</v>
      </c>
      <c r="B44" s="287">
        <v>126.1810000000001</v>
      </c>
      <c r="C44" s="287">
        <v>159.21033000000003</v>
      </c>
      <c r="D44" s="16">
        <f t="shared" si="9"/>
        <v>1.2617615171856293</v>
      </c>
      <c r="E44" s="99"/>
      <c r="F44" s="99"/>
      <c r="G44" s="13"/>
      <c r="H44" s="22"/>
      <c r="I44" s="13"/>
      <c r="J44" s="4"/>
      <c r="L44" s="27"/>
    </row>
    <row r="45" spans="1:15" x14ac:dyDescent="0.35">
      <c r="A45" t="s">
        <v>80</v>
      </c>
      <c r="B45" s="287">
        <v>135.29399999999995</v>
      </c>
      <c r="C45" s="287">
        <v>152.0102499999999</v>
      </c>
      <c r="D45" s="16">
        <f t="shared" si="9"/>
        <v>1.1235549987434768</v>
      </c>
      <c r="E45" s="99"/>
      <c r="F45" s="99"/>
      <c r="G45" s="13"/>
      <c r="H45" s="22"/>
      <c r="I45" s="13"/>
      <c r="J45" s="4"/>
      <c r="L45" s="27"/>
    </row>
    <row r="46" spans="1:15" x14ac:dyDescent="0.35">
      <c r="A46" t="s">
        <v>81</v>
      </c>
      <c r="B46" s="287">
        <v>222.042</v>
      </c>
      <c r="C46" s="287">
        <v>298.21014000000048</v>
      </c>
      <c r="D46" s="16">
        <f t="shared" si="9"/>
        <v>1.3430348312481444</v>
      </c>
      <c r="E46" s="99"/>
      <c r="F46" s="99"/>
      <c r="G46" s="13"/>
      <c r="H46" s="22"/>
      <c r="I46" s="13"/>
      <c r="J46" s="4"/>
      <c r="L46" s="27"/>
    </row>
    <row r="47" spans="1:15" x14ac:dyDescent="0.35">
      <c r="A47" t="s">
        <v>82</v>
      </c>
      <c r="B47" s="287">
        <v>821.47099999999944</v>
      </c>
      <c r="C47" s="287">
        <v>1624.2246400000004</v>
      </c>
      <c r="D47" s="16">
        <f t="shared" si="9"/>
        <v>1.9772148255994448</v>
      </c>
      <c r="E47" s="99"/>
      <c r="F47" s="99"/>
      <c r="G47" s="13"/>
      <c r="H47" s="22"/>
      <c r="I47" s="13"/>
      <c r="J47" s="4"/>
      <c r="L47" s="27"/>
    </row>
    <row r="48" spans="1:15" x14ac:dyDescent="0.35">
      <c r="A48" t="s">
        <v>83</v>
      </c>
      <c r="B48" s="287">
        <v>129.73699999999999</v>
      </c>
      <c r="C48" s="287">
        <v>150.65529000000004</v>
      </c>
      <c r="D48" s="16">
        <f t="shared" si="9"/>
        <v>1.1612361161426581</v>
      </c>
      <c r="E48" s="99"/>
      <c r="F48" s="99"/>
      <c r="G48" s="13"/>
      <c r="H48" s="22"/>
      <c r="I48" s="13"/>
      <c r="J48" s="4"/>
      <c r="L48" s="27"/>
    </row>
    <row r="49" spans="1:12" x14ac:dyDescent="0.35">
      <c r="A49" t="s">
        <v>84</v>
      </c>
      <c r="B49" s="287">
        <v>38.332999999999991</v>
      </c>
      <c r="C49" s="287">
        <v>50.917979999999986</v>
      </c>
      <c r="D49" s="16">
        <f t="shared" si="9"/>
        <v>1.3283066809276602</v>
      </c>
      <c r="E49" s="99"/>
      <c r="F49" s="99"/>
      <c r="G49" s="13"/>
      <c r="H49" s="22"/>
      <c r="I49" s="13"/>
      <c r="J49" s="4"/>
      <c r="L49" s="27"/>
    </row>
    <row r="50" spans="1:12" x14ac:dyDescent="0.35">
      <c r="A50" t="s">
        <v>85</v>
      </c>
      <c r="B50" s="287">
        <v>31.581</v>
      </c>
      <c r="C50" s="287">
        <v>26.893149999999999</v>
      </c>
      <c r="D50" s="16">
        <f t="shared" si="9"/>
        <v>0.8515610651974288</v>
      </c>
      <c r="E50" s="99"/>
      <c r="F50" s="99"/>
      <c r="G50" s="13"/>
      <c r="H50" s="22"/>
      <c r="I50" s="13"/>
      <c r="J50" s="4"/>
      <c r="L50" s="27"/>
    </row>
    <row r="51" spans="1:12" x14ac:dyDescent="0.35">
      <c r="A51" t="s">
        <v>86</v>
      </c>
      <c r="B51" s="287">
        <v>26.324000000000002</v>
      </c>
      <c r="C51" s="287">
        <v>31.468</v>
      </c>
      <c r="D51" s="16">
        <f t="shared" si="9"/>
        <v>1.1954110317580915</v>
      </c>
      <c r="E51" s="99"/>
      <c r="F51" s="99"/>
      <c r="G51" s="13"/>
      <c r="H51" s="22"/>
      <c r="I51" s="13"/>
      <c r="J51" s="4"/>
      <c r="L51" s="27"/>
    </row>
    <row r="52" spans="1:12" x14ac:dyDescent="0.35">
      <c r="A52" t="s">
        <v>87</v>
      </c>
      <c r="B52" s="287">
        <v>91.595000000000027</v>
      </c>
      <c r="C52" s="287">
        <v>92.675089999999969</v>
      </c>
      <c r="D52" s="16">
        <f t="shared" si="9"/>
        <v>1.011792019215022</v>
      </c>
      <c r="E52" s="99"/>
      <c r="F52" s="99"/>
      <c r="G52" s="13"/>
      <c r="H52" s="22"/>
      <c r="I52" s="13"/>
      <c r="J52" s="4"/>
      <c r="L52" s="27"/>
    </row>
    <row r="53" spans="1:12" x14ac:dyDescent="0.35">
      <c r="A53" t="s">
        <v>88</v>
      </c>
      <c r="B53" s="287"/>
      <c r="C53" s="287"/>
      <c r="D53" s="16"/>
      <c r="E53" s="99"/>
      <c r="F53" s="99"/>
      <c r="G53" s="13"/>
      <c r="H53" s="22"/>
      <c r="I53" s="13"/>
      <c r="J53" s="4"/>
    </row>
    <row r="54" spans="1:12" x14ac:dyDescent="0.35">
      <c r="A54" t="s">
        <v>233</v>
      </c>
      <c r="B54" s="287">
        <v>484.5730000000006</v>
      </c>
      <c r="C54" s="287">
        <v>713.32116000000008</v>
      </c>
      <c r="D54" s="16">
        <f t="shared" si="9"/>
        <v>1.472061299329511</v>
      </c>
      <c r="E54" s="99"/>
      <c r="F54" s="99"/>
      <c r="G54" s="13"/>
      <c r="H54" s="22"/>
      <c r="I54" s="13"/>
      <c r="J54" s="4"/>
      <c r="L54" s="27"/>
    </row>
    <row r="55" spans="1:12" x14ac:dyDescent="0.35">
      <c r="A55" t="s">
        <v>90</v>
      </c>
      <c r="B55" s="287"/>
      <c r="C55" s="287"/>
      <c r="D55" s="16"/>
      <c r="E55" s="99"/>
      <c r="F55" s="99"/>
      <c r="G55" s="13"/>
      <c r="H55" s="22"/>
      <c r="I55" s="13"/>
      <c r="J55" s="4"/>
      <c r="L55" s="27"/>
    </row>
    <row r="56" spans="1:12" x14ac:dyDescent="0.35">
      <c r="A56" t="s">
        <v>91</v>
      </c>
      <c r="B56" s="287">
        <v>29.520000000000003</v>
      </c>
      <c r="C56" s="287">
        <v>32.239130000000003</v>
      </c>
      <c r="D56" s="16">
        <f t="shared" si="9"/>
        <v>1.0921114498644986</v>
      </c>
      <c r="E56" s="99"/>
      <c r="F56" s="99"/>
      <c r="G56" s="13"/>
      <c r="H56" s="22"/>
      <c r="I56" s="13"/>
      <c r="J56" s="4"/>
      <c r="L56" s="27"/>
    </row>
    <row r="57" spans="1:12" x14ac:dyDescent="0.35">
      <c r="A57" t="s">
        <v>92</v>
      </c>
      <c r="B57" s="287">
        <v>62.131999999999998</v>
      </c>
      <c r="C57" s="287">
        <v>66.372870000000006</v>
      </c>
      <c r="D57" s="16">
        <f t="shared" si="9"/>
        <v>1.0682558102105197</v>
      </c>
      <c r="E57" s="99"/>
      <c r="F57" s="99"/>
      <c r="G57" s="13"/>
      <c r="H57" s="22"/>
      <c r="I57" s="13"/>
      <c r="J57" s="4"/>
      <c r="L57" s="27"/>
    </row>
    <row r="58" spans="1:12" x14ac:dyDescent="0.35">
      <c r="A58" t="s">
        <v>93</v>
      </c>
      <c r="B58" s="287"/>
      <c r="C58" s="287"/>
      <c r="D58" s="16"/>
      <c r="E58" s="99"/>
      <c r="F58" s="99"/>
      <c r="G58" s="13"/>
      <c r="H58" s="22"/>
      <c r="I58" s="13"/>
      <c r="J58" s="4"/>
      <c r="L58" s="27"/>
    </row>
    <row r="59" spans="1:12" x14ac:dyDescent="0.35">
      <c r="A59" t="s">
        <v>94</v>
      </c>
      <c r="B59" s="287">
        <v>80.431999999999974</v>
      </c>
      <c r="C59" s="287">
        <v>116.06334999999999</v>
      </c>
      <c r="D59" s="16">
        <f t="shared" si="9"/>
        <v>1.4429996767455742</v>
      </c>
      <c r="E59" s="99"/>
      <c r="F59" s="99"/>
      <c r="G59" s="13"/>
      <c r="H59" s="22"/>
      <c r="I59" s="13"/>
      <c r="J59" s="4"/>
      <c r="L59" s="27"/>
    </row>
    <row r="60" spans="1:12" x14ac:dyDescent="0.35">
      <c r="A60" t="s">
        <v>95</v>
      </c>
      <c r="B60" s="287">
        <v>21.596</v>
      </c>
      <c r="C60" s="287">
        <v>24.531659999999992</v>
      </c>
      <c r="D60" s="16">
        <f t="shared" si="9"/>
        <v>1.1359353583997032</v>
      </c>
      <c r="E60" s="99"/>
      <c r="F60" s="99"/>
      <c r="G60" s="13"/>
      <c r="H60" s="22"/>
      <c r="I60" s="13"/>
      <c r="J60" s="4"/>
      <c r="L60" s="27"/>
    </row>
    <row r="61" spans="1:12" x14ac:dyDescent="0.35">
      <c r="A61" s="278" t="s">
        <v>96</v>
      </c>
      <c r="B61" s="284">
        <v>453.38</v>
      </c>
      <c r="C61" s="284">
        <v>593.41620000000034</v>
      </c>
      <c r="D61" s="285">
        <f t="shared" si="9"/>
        <v>1.3088715867484237</v>
      </c>
      <c r="E61" s="284"/>
      <c r="F61" s="99"/>
      <c r="G61" s="99"/>
      <c r="H61" s="99"/>
      <c r="I61" s="16"/>
      <c r="J61" s="4"/>
      <c r="L61" s="27"/>
    </row>
    <row r="62" spans="1:12" x14ac:dyDescent="0.35">
      <c r="A62" t="s">
        <v>99</v>
      </c>
      <c r="B62" s="287">
        <v>3461.2770000000073</v>
      </c>
      <c r="C62" s="287">
        <v>3743.958009999998</v>
      </c>
      <c r="D62" s="16">
        <f t="shared" si="9"/>
        <v>1.0816695716638658</v>
      </c>
      <c r="E62" s="99"/>
      <c r="F62" s="99"/>
      <c r="G62" s="13"/>
      <c r="H62" s="22"/>
      <c r="I62" s="286"/>
      <c r="J62" s="4"/>
      <c r="L62" s="27"/>
    </row>
    <row r="63" spans="1:12" s="32" customFormat="1" x14ac:dyDescent="0.35">
      <c r="B63" s="41"/>
      <c r="F63" s="42"/>
      <c r="G63" s="40"/>
      <c r="H63" s="29"/>
      <c r="I63" s="30"/>
      <c r="K63" s="41"/>
    </row>
  </sheetData>
  <mergeCells count="8">
    <mergeCell ref="A34:A35"/>
    <mergeCell ref="B34:D34"/>
    <mergeCell ref="B2:I2"/>
    <mergeCell ref="J2:O2"/>
    <mergeCell ref="B3:E3"/>
    <mergeCell ref="F3:I3"/>
    <mergeCell ref="J3:L3"/>
    <mergeCell ref="M3:O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9A9D-EF95-4074-A295-FE9CD86464C7}">
  <sheetPr>
    <tabColor rgb="FF00B050"/>
  </sheetPr>
  <dimension ref="A1:P63"/>
  <sheetViews>
    <sheetView topLeftCell="A28" workbookViewId="0">
      <selection activeCell="F39" sqref="F39"/>
    </sheetView>
  </sheetViews>
  <sheetFormatPr defaultColWidth="8.7265625" defaultRowHeight="14.5" x14ac:dyDescent="0.35"/>
  <cols>
    <col min="1" max="1" width="23.26953125" bestFit="1" customWidth="1"/>
    <col min="2" max="2" width="18.7265625" bestFit="1" customWidth="1"/>
    <col min="3" max="3" width="17.7265625" customWidth="1"/>
    <col min="4" max="5" width="15.7265625" customWidth="1"/>
    <col min="6" max="6" width="15.26953125" customWidth="1"/>
    <col min="7" max="9" width="15.7265625" customWidth="1"/>
    <col min="10" max="11" width="19.7265625" bestFit="1" customWidth="1"/>
    <col min="12" max="12" width="15.7265625" customWidth="1"/>
    <col min="13" max="14" width="19.7265625" bestFit="1" customWidth="1"/>
    <col min="15" max="15" width="15.7265625" customWidth="1"/>
  </cols>
  <sheetData>
    <row r="1" spans="1:15" s="32" customFormat="1" x14ac:dyDescent="0.35">
      <c r="B1" s="40"/>
      <c r="C1" s="40"/>
      <c r="D1" s="40"/>
      <c r="E1" s="30"/>
      <c r="F1" s="40"/>
      <c r="G1" s="40"/>
      <c r="H1" s="29"/>
      <c r="I1" s="30"/>
    </row>
    <row r="2" spans="1:15" s="5" customFormat="1" x14ac:dyDescent="0.35">
      <c r="B2" s="676" t="s">
        <v>453</v>
      </c>
      <c r="C2" s="676"/>
      <c r="D2" s="676"/>
      <c r="E2" s="676"/>
      <c r="F2" s="676"/>
      <c r="G2" s="676"/>
      <c r="H2" s="676"/>
      <c r="I2" s="676"/>
      <c r="J2" s="676" t="s">
        <v>454</v>
      </c>
      <c r="K2" s="676"/>
      <c r="L2" s="676"/>
      <c r="M2" s="676"/>
      <c r="N2" s="676"/>
      <c r="O2" s="676"/>
    </row>
    <row r="3" spans="1:15" s="6" customFormat="1" x14ac:dyDescent="0.35">
      <c r="A3" s="157" t="s">
        <v>128</v>
      </c>
      <c r="B3" s="676" t="s">
        <v>434</v>
      </c>
      <c r="C3" s="676"/>
      <c r="D3" s="676"/>
      <c r="E3" s="676"/>
      <c r="F3" s="676" t="s">
        <v>435</v>
      </c>
      <c r="G3" s="676"/>
      <c r="H3" s="676"/>
      <c r="I3" s="676"/>
      <c r="J3" s="676" t="s">
        <v>434</v>
      </c>
      <c r="K3" s="676"/>
      <c r="L3" s="676"/>
      <c r="M3" s="676" t="s">
        <v>435</v>
      </c>
      <c r="N3" s="676"/>
      <c r="O3" s="676"/>
    </row>
    <row r="4" spans="1:15" s="6" customFormat="1" ht="29.9" customHeight="1" x14ac:dyDescent="0.35">
      <c r="A4" s="157"/>
      <c r="B4" s="28" t="s">
        <v>436</v>
      </c>
      <c r="C4" s="28" t="s">
        <v>437</v>
      </c>
      <c r="D4" s="28" t="s">
        <v>438</v>
      </c>
      <c r="E4" s="28" t="s">
        <v>129</v>
      </c>
      <c r="F4" s="28" t="s">
        <v>436</v>
      </c>
      <c r="G4" s="28" t="s">
        <v>437</v>
      </c>
      <c r="H4" s="28" t="s">
        <v>438</v>
      </c>
      <c r="I4" s="28" t="s">
        <v>129</v>
      </c>
      <c r="J4" s="28" t="s">
        <v>450</v>
      </c>
      <c r="K4" s="28" t="s">
        <v>451</v>
      </c>
      <c r="L4" s="28" t="s">
        <v>161</v>
      </c>
      <c r="M4" s="28" t="s">
        <v>450</v>
      </c>
      <c r="N4" s="28" t="s">
        <v>451</v>
      </c>
      <c r="O4" s="28" t="s">
        <v>161</v>
      </c>
    </row>
    <row r="5" spans="1:15" x14ac:dyDescent="0.35">
      <c r="A5" t="s">
        <v>71</v>
      </c>
      <c r="B5" s="76">
        <f>J5*365</f>
        <v>0</v>
      </c>
      <c r="C5" s="76">
        <f>K5*365</f>
        <v>824265630</v>
      </c>
      <c r="D5" s="76">
        <f>L5*365</f>
        <v>824265630</v>
      </c>
      <c r="E5" s="154">
        <f>C5/D5</f>
        <v>1</v>
      </c>
      <c r="F5" s="76">
        <f t="shared" ref="F5:F21" si="0">M5*365</f>
        <v>45069105</v>
      </c>
      <c r="G5" s="76">
        <f t="shared" ref="G5:H20" si="1">N5*365</f>
        <v>908553255</v>
      </c>
      <c r="H5" s="76">
        <f t="shared" si="1"/>
        <v>953622360</v>
      </c>
      <c r="I5" s="154">
        <f>G5/H5</f>
        <v>0.95273904336722981</v>
      </c>
      <c r="J5" s="274">
        <v>0</v>
      </c>
      <c r="K5" s="275">
        <v>2258262</v>
      </c>
      <c r="L5" s="97">
        <f>+SUM(J5:K5)</f>
        <v>2258262</v>
      </c>
      <c r="M5" s="275">
        <v>123477</v>
      </c>
      <c r="N5" s="275">
        <v>2489187</v>
      </c>
      <c r="O5" s="97">
        <f>+SUM(M5:N5)</f>
        <v>2612664</v>
      </c>
    </row>
    <row r="6" spans="1:15" x14ac:dyDescent="0.35">
      <c r="A6" t="s">
        <v>72</v>
      </c>
      <c r="B6" s="76">
        <f t="shared" ref="B6:D32" si="2">J6*365</f>
        <v>0</v>
      </c>
      <c r="C6" s="76">
        <f t="shared" si="2"/>
        <v>1661692065</v>
      </c>
      <c r="D6" s="76">
        <f t="shared" si="2"/>
        <v>1661692065</v>
      </c>
      <c r="E6" s="154">
        <f t="shared" ref="E6:E32" si="3">C6/D6</f>
        <v>1</v>
      </c>
      <c r="F6" s="76">
        <f t="shared" si="0"/>
        <v>36675565</v>
      </c>
      <c r="G6" s="76">
        <f t="shared" si="1"/>
        <v>1363569920</v>
      </c>
      <c r="H6" s="76">
        <f t="shared" si="1"/>
        <v>1400245485</v>
      </c>
      <c r="I6" s="154">
        <f t="shared" ref="I6:I32" si="4">G6/H6</f>
        <v>0.97380776057278273</v>
      </c>
      <c r="J6" s="274">
        <v>0</v>
      </c>
      <c r="K6" s="275">
        <v>4552581</v>
      </c>
      <c r="L6" s="97">
        <f t="shared" ref="L6:L30" si="5">+SUM(J6:K6)</f>
        <v>4552581</v>
      </c>
      <c r="M6" s="275">
        <v>100481</v>
      </c>
      <c r="N6" s="275">
        <v>3735808</v>
      </c>
      <c r="O6" s="97">
        <f t="shared" ref="O6:O31" si="6">+SUM(M6:N6)</f>
        <v>3836289</v>
      </c>
    </row>
    <row r="7" spans="1:15" x14ac:dyDescent="0.35">
      <c r="A7" t="s">
        <v>73</v>
      </c>
      <c r="B7" s="76">
        <f t="shared" si="2"/>
        <v>2147401945</v>
      </c>
      <c r="C7" s="76">
        <f t="shared" si="2"/>
        <v>8615709660</v>
      </c>
      <c r="D7" s="76">
        <f t="shared" si="2"/>
        <v>10763111605</v>
      </c>
      <c r="E7" s="154">
        <f t="shared" si="3"/>
        <v>0.80048502479502071</v>
      </c>
      <c r="F7" s="76">
        <f t="shared" si="0"/>
        <v>1667786470</v>
      </c>
      <c r="G7" s="76">
        <f t="shared" si="1"/>
        <v>16500229785</v>
      </c>
      <c r="H7" s="76">
        <f t="shared" si="1"/>
        <v>18168016255</v>
      </c>
      <c r="I7" s="154">
        <f t="shared" si="4"/>
        <v>0.90820205978509017</v>
      </c>
      <c r="J7" s="275">
        <v>5883293</v>
      </c>
      <c r="K7" s="275">
        <v>23604684</v>
      </c>
      <c r="L7" s="97">
        <f t="shared" si="5"/>
        <v>29487977</v>
      </c>
      <c r="M7" s="275">
        <v>4569278</v>
      </c>
      <c r="N7" s="275">
        <v>45206109</v>
      </c>
      <c r="O7" s="97">
        <f t="shared" si="6"/>
        <v>49775387</v>
      </c>
    </row>
    <row r="8" spans="1:15" x14ac:dyDescent="0.35">
      <c r="A8" t="s">
        <v>74</v>
      </c>
      <c r="B8" s="76">
        <f t="shared" si="2"/>
        <v>87791990</v>
      </c>
      <c r="C8" s="76">
        <f t="shared" si="2"/>
        <v>3850311270</v>
      </c>
      <c r="D8" s="76">
        <f t="shared" si="2"/>
        <v>3938103260</v>
      </c>
      <c r="E8" s="154">
        <f t="shared" si="3"/>
        <v>0.97770703706738249</v>
      </c>
      <c r="F8" s="76">
        <f t="shared" si="0"/>
        <v>235132635</v>
      </c>
      <c r="G8" s="76">
        <f t="shared" si="1"/>
        <v>3379294830</v>
      </c>
      <c r="H8" s="76">
        <f t="shared" si="1"/>
        <v>3614427465</v>
      </c>
      <c r="I8" s="154">
        <f t="shared" si="4"/>
        <v>0.93494609110934257</v>
      </c>
      <c r="J8" s="275">
        <v>240526</v>
      </c>
      <c r="K8" s="275">
        <v>10548798</v>
      </c>
      <c r="L8" s="97">
        <f t="shared" si="5"/>
        <v>10789324</v>
      </c>
      <c r="M8" s="275">
        <v>644199</v>
      </c>
      <c r="N8" s="275">
        <v>9258342</v>
      </c>
      <c r="O8" s="97">
        <f t="shared" si="6"/>
        <v>9902541</v>
      </c>
    </row>
    <row r="9" spans="1:15" x14ac:dyDescent="0.35">
      <c r="A9" t="s">
        <v>75</v>
      </c>
      <c r="B9" s="76">
        <f t="shared" si="2"/>
        <v>8804165</v>
      </c>
      <c r="C9" s="76">
        <f t="shared" si="2"/>
        <v>899099025</v>
      </c>
      <c r="D9" s="76">
        <f t="shared" si="2"/>
        <v>907903190</v>
      </c>
      <c r="E9" s="154">
        <f t="shared" si="3"/>
        <v>0.99030274912901228</v>
      </c>
      <c r="F9" s="76">
        <f t="shared" si="0"/>
        <v>82046525</v>
      </c>
      <c r="G9" s="76">
        <f t="shared" si="1"/>
        <v>878649535</v>
      </c>
      <c r="H9" s="76">
        <f t="shared" si="1"/>
        <v>960696060</v>
      </c>
      <c r="I9" s="154">
        <f t="shared" si="4"/>
        <v>0.91459679245483738</v>
      </c>
      <c r="J9" s="275">
        <v>24121</v>
      </c>
      <c r="K9" s="275">
        <v>2463285</v>
      </c>
      <c r="L9" s="97">
        <f t="shared" si="5"/>
        <v>2487406</v>
      </c>
      <c r="M9" s="275">
        <v>224785</v>
      </c>
      <c r="N9" s="275">
        <v>2407259</v>
      </c>
      <c r="O9" s="97">
        <f t="shared" si="6"/>
        <v>2632044</v>
      </c>
    </row>
    <row r="10" spans="1:15" x14ac:dyDescent="0.35">
      <c r="A10" t="s">
        <v>76</v>
      </c>
      <c r="B10" s="76">
        <f t="shared" si="2"/>
        <v>0</v>
      </c>
      <c r="C10" s="76">
        <f t="shared" si="2"/>
        <v>0</v>
      </c>
      <c r="D10" s="76"/>
      <c r="E10" s="154"/>
      <c r="F10" s="76">
        <f t="shared" si="0"/>
        <v>135249290</v>
      </c>
      <c r="G10" s="76">
        <f t="shared" si="1"/>
        <v>1853746305</v>
      </c>
      <c r="H10" s="76">
        <f t="shared" si="1"/>
        <v>1988995595</v>
      </c>
      <c r="I10" s="154">
        <f t="shared" si="4"/>
        <v>0.93200121189810881</v>
      </c>
      <c r="J10" s="274"/>
      <c r="K10" s="274"/>
      <c r="L10" s="97"/>
      <c r="M10" s="275">
        <v>370546</v>
      </c>
      <c r="N10" s="275">
        <v>5078757</v>
      </c>
      <c r="O10" s="97">
        <f t="shared" si="6"/>
        <v>5449303</v>
      </c>
    </row>
    <row r="11" spans="1:15" x14ac:dyDescent="0.35">
      <c r="A11" t="s">
        <v>77</v>
      </c>
      <c r="B11" s="76">
        <f t="shared" si="2"/>
        <v>8467270</v>
      </c>
      <c r="C11" s="76">
        <f t="shared" si="2"/>
        <v>1071868855</v>
      </c>
      <c r="D11" s="76">
        <f t="shared" si="2"/>
        <v>1080336125</v>
      </c>
      <c r="E11" s="154">
        <f t="shared" si="3"/>
        <v>0.99216237446470656</v>
      </c>
      <c r="F11" s="76">
        <f t="shared" si="0"/>
        <v>161846475</v>
      </c>
      <c r="G11" s="76">
        <f t="shared" si="1"/>
        <v>2833581140</v>
      </c>
      <c r="H11" s="76">
        <f t="shared" si="1"/>
        <v>2995427615</v>
      </c>
      <c r="I11" s="154">
        <f t="shared" si="4"/>
        <v>0.94596882455462039</v>
      </c>
      <c r="J11" s="274">
        <v>23198</v>
      </c>
      <c r="K11" s="275">
        <v>2936627</v>
      </c>
      <c r="L11" s="97">
        <f t="shared" si="5"/>
        <v>2959825</v>
      </c>
      <c r="M11" s="275">
        <v>443415</v>
      </c>
      <c r="N11" s="275">
        <v>7763236</v>
      </c>
      <c r="O11" s="97">
        <f t="shared" si="6"/>
        <v>8206651</v>
      </c>
    </row>
    <row r="12" spans="1:15" x14ac:dyDescent="0.35">
      <c r="A12" t="s">
        <v>78</v>
      </c>
      <c r="B12" s="76">
        <f t="shared" si="2"/>
        <v>8982281350</v>
      </c>
      <c r="C12" s="76">
        <f t="shared" si="2"/>
        <v>39641326875</v>
      </c>
      <c r="D12" s="76">
        <f t="shared" si="2"/>
        <v>48623608225</v>
      </c>
      <c r="E12" s="154">
        <f t="shared" si="3"/>
        <v>0.81526913205545026</v>
      </c>
      <c r="F12" s="76">
        <f t="shared" si="0"/>
        <v>6508823810</v>
      </c>
      <c r="G12" s="76">
        <f t="shared" si="1"/>
        <v>42302114095</v>
      </c>
      <c r="H12" s="76">
        <f t="shared" si="1"/>
        <v>48810937905</v>
      </c>
      <c r="I12" s="154">
        <f t="shared" si="4"/>
        <v>0.86665235110482763</v>
      </c>
      <c r="J12" s="275">
        <v>24608990</v>
      </c>
      <c r="K12" s="275">
        <v>108606375</v>
      </c>
      <c r="L12" s="97">
        <f t="shared" si="5"/>
        <v>133215365</v>
      </c>
      <c r="M12" s="275">
        <v>17832394</v>
      </c>
      <c r="N12" s="275">
        <v>115896203</v>
      </c>
      <c r="O12" s="97">
        <f t="shared" si="6"/>
        <v>133728597</v>
      </c>
    </row>
    <row r="13" spans="1:15" x14ac:dyDescent="0.35">
      <c r="A13" t="s">
        <v>79</v>
      </c>
      <c r="B13" s="76">
        <f t="shared" si="2"/>
        <v>329391330</v>
      </c>
      <c r="C13" s="76">
        <f t="shared" si="2"/>
        <v>4004652615</v>
      </c>
      <c r="D13" s="76">
        <f t="shared" si="2"/>
        <v>4334043945</v>
      </c>
      <c r="E13" s="154">
        <f t="shared" si="3"/>
        <v>0.92399907934020731</v>
      </c>
      <c r="F13" s="76">
        <f t="shared" si="0"/>
        <v>572429135</v>
      </c>
      <c r="G13" s="76">
        <f t="shared" si="1"/>
        <v>4643585480</v>
      </c>
      <c r="H13" s="76">
        <f t="shared" si="1"/>
        <v>5216014615</v>
      </c>
      <c r="I13" s="154">
        <f t="shared" si="4"/>
        <v>0.89025545799779171</v>
      </c>
      <c r="J13" s="275">
        <v>902442</v>
      </c>
      <c r="K13" s="275">
        <v>10971651</v>
      </c>
      <c r="L13" s="97">
        <f t="shared" si="5"/>
        <v>11874093</v>
      </c>
      <c r="M13" s="275">
        <v>1568299</v>
      </c>
      <c r="N13" s="275">
        <v>12722152</v>
      </c>
      <c r="O13" s="97">
        <f t="shared" si="6"/>
        <v>14290451</v>
      </c>
    </row>
    <row r="14" spans="1:15" x14ac:dyDescent="0.35">
      <c r="A14" t="s">
        <v>80</v>
      </c>
      <c r="B14" s="76">
        <f t="shared" si="2"/>
        <v>0</v>
      </c>
      <c r="C14" s="76">
        <f t="shared" si="2"/>
        <v>1421247585</v>
      </c>
      <c r="D14" s="76">
        <f t="shared" si="2"/>
        <v>1421247585</v>
      </c>
      <c r="E14" s="154">
        <f t="shared" si="3"/>
        <v>1</v>
      </c>
      <c r="F14" s="76">
        <f t="shared" si="0"/>
        <v>61530605</v>
      </c>
      <c r="G14" s="76">
        <f t="shared" si="1"/>
        <v>435236220</v>
      </c>
      <c r="H14" s="76">
        <f t="shared" si="1"/>
        <v>496766825</v>
      </c>
      <c r="I14" s="154">
        <f t="shared" si="4"/>
        <v>0.87613785401229238</v>
      </c>
      <c r="J14" s="274">
        <v>0</v>
      </c>
      <c r="K14" s="275">
        <v>3893829</v>
      </c>
      <c r="L14" s="97">
        <f t="shared" si="5"/>
        <v>3893829</v>
      </c>
      <c r="M14" s="275">
        <v>168577</v>
      </c>
      <c r="N14" s="275">
        <v>1192428</v>
      </c>
      <c r="O14" s="97">
        <f t="shared" si="6"/>
        <v>1361005</v>
      </c>
    </row>
    <row r="15" spans="1:15" x14ac:dyDescent="0.35">
      <c r="A15" t="s">
        <v>81</v>
      </c>
      <c r="B15" s="76">
        <f t="shared" si="2"/>
        <v>364036400</v>
      </c>
      <c r="C15" s="76">
        <f t="shared" si="2"/>
        <v>2629798720</v>
      </c>
      <c r="D15" s="76">
        <f t="shared" si="2"/>
        <v>2993835120</v>
      </c>
      <c r="E15" s="154">
        <f t="shared" si="3"/>
        <v>0.87840465977298043</v>
      </c>
      <c r="F15" s="76">
        <f t="shared" si="0"/>
        <v>186171535</v>
      </c>
      <c r="G15" s="76">
        <f t="shared" si="1"/>
        <v>3941018150</v>
      </c>
      <c r="H15" s="76">
        <f t="shared" si="1"/>
        <v>4127189685</v>
      </c>
      <c r="I15" s="154">
        <f t="shared" si="4"/>
        <v>0.95489145176035206</v>
      </c>
      <c r="J15" s="275">
        <v>997360</v>
      </c>
      <c r="K15" s="275">
        <v>7204928</v>
      </c>
      <c r="L15" s="97">
        <f t="shared" si="5"/>
        <v>8202288</v>
      </c>
      <c r="M15" s="275">
        <v>510059</v>
      </c>
      <c r="N15" s="275">
        <v>10797310</v>
      </c>
      <c r="O15" s="97">
        <f t="shared" si="6"/>
        <v>11307369</v>
      </c>
    </row>
    <row r="16" spans="1:15" x14ac:dyDescent="0.35">
      <c r="A16" t="s">
        <v>82</v>
      </c>
      <c r="B16" s="76">
        <f t="shared" si="2"/>
        <v>10578070840</v>
      </c>
      <c r="C16" s="76">
        <f t="shared" si="2"/>
        <v>39886101715</v>
      </c>
      <c r="D16" s="76">
        <f t="shared" si="2"/>
        <v>50464172555</v>
      </c>
      <c r="E16" s="154">
        <f t="shared" si="3"/>
        <v>0.79038453809044129</v>
      </c>
      <c r="F16" s="76">
        <f t="shared" si="0"/>
        <v>4214547690</v>
      </c>
      <c r="G16" s="76">
        <f t="shared" si="1"/>
        <v>35072161975</v>
      </c>
      <c r="H16" s="76">
        <f t="shared" si="1"/>
        <v>39286709665</v>
      </c>
      <c r="I16" s="154">
        <f t="shared" si="4"/>
        <v>0.89272332231592599</v>
      </c>
      <c r="J16" s="275">
        <v>28981016</v>
      </c>
      <c r="K16" s="275">
        <v>109276991</v>
      </c>
      <c r="L16" s="97">
        <f t="shared" si="5"/>
        <v>138258007</v>
      </c>
      <c r="M16" s="275">
        <v>11546706</v>
      </c>
      <c r="N16" s="275">
        <v>96088115</v>
      </c>
      <c r="O16" s="97">
        <f t="shared" si="6"/>
        <v>107634821</v>
      </c>
    </row>
    <row r="17" spans="1:16" x14ac:dyDescent="0.35">
      <c r="A17" t="s">
        <v>83</v>
      </c>
      <c r="B17" s="76">
        <f t="shared" si="2"/>
        <v>50103185</v>
      </c>
      <c r="C17" s="76">
        <f t="shared" si="2"/>
        <v>5122201950</v>
      </c>
      <c r="D17" s="76">
        <f t="shared" si="2"/>
        <v>5172305135</v>
      </c>
      <c r="E17" s="154">
        <f t="shared" si="3"/>
        <v>0.99031318074006092</v>
      </c>
      <c r="F17" s="76">
        <f t="shared" si="0"/>
        <v>72551050</v>
      </c>
      <c r="G17" s="76">
        <f t="shared" si="1"/>
        <v>1587299955</v>
      </c>
      <c r="H17" s="76">
        <f t="shared" si="1"/>
        <v>1659851005</v>
      </c>
      <c r="I17" s="154">
        <f t="shared" si="4"/>
        <v>0.95629062501305651</v>
      </c>
      <c r="J17" s="275">
        <v>137269</v>
      </c>
      <c r="K17" s="275">
        <v>14033430</v>
      </c>
      <c r="L17" s="97">
        <f t="shared" si="5"/>
        <v>14170699</v>
      </c>
      <c r="M17" s="275">
        <v>198770</v>
      </c>
      <c r="N17" s="275">
        <v>4348767</v>
      </c>
      <c r="O17" s="97">
        <f t="shared" si="6"/>
        <v>4547537</v>
      </c>
    </row>
    <row r="18" spans="1:16" x14ac:dyDescent="0.35">
      <c r="A18" t="s">
        <v>84</v>
      </c>
      <c r="B18" s="76">
        <f t="shared" si="2"/>
        <v>14101775</v>
      </c>
      <c r="C18" s="76">
        <f t="shared" si="2"/>
        <v>1050459050</v>
      </c>
      <c r="D18" s="76">
        <f t="shared" si="2"/>
        <v>1064560825</v>
      </c>
      <c r="E18" s="154">
        <f t="shared" si="3"/>
        <v>0.98675343421546624</v>
      </c>
      <c r="F18" s="76">
        <f t="shared" si="0"/>
        <v>125719140</v>
      </c>
      <c r="G18" s="76">
        <f t="shared" si="1"/>
        <v>1083938675</v>
      </c>
      <c r="H18" s="76">
        <f t="shared" si="1"/>
        <v>1209657815</v>
      </c>
      <c r="I18" s="154">
        <f t="shared" si="4"/>
        <v>0.89607049329069977</v>
      </c>
      <c r="J18" s="275">
        <v>38635</v>
      </c>
      <c r="K18" s="275">
        <v>2877970</v>
      </c>
      <c r="L18" s="97">
        <f t="shared" si="5"/>
        <v>2916605</v>
      </c>
      <c r="M18" s="275">
        <v>344436</v>
      </c>
      <c r="N18" s="275">
        <v>2969695</v>
      </c>
      <c r="O18" s="97">
        <f t="shared" si="6"/>
        <v>3314131</v>
      </c>
    </row>
    <row r="19" spans="1:16" x14ac:dyDescent="0.35">
      <c r="A19" t="s">
        <v>85</v>
      </c>
      <c r="B19" s="76">
        <f t="shared" si="2"/>
        <v>0</v>
      </c>
      <c r="C19" s="76">
        <f t="shared" si="2"/>
        <v>855484810</v>
      </c>
      <c r="D19" s="76">
        <f t="shared" si="2"/>
        <v>855484810</v>
      </c>
      <c r="E19" s="154">
        <f t="shared" si="3"/>
        <v>1</v>
      </c>
      <c r="F19" s="76">
        <f t="shared" si="0"/>
        <v>49957550</v>
      </c>
      <c r="G19" s="76">
        <f t="shared" si="1"/>
        <v>1114826070</v>
      </c>
      <c r="H19" s="76">
        <f t="shared" si="1"/>
        <v>1164783620</v>
      </c>
      <c r="I19" s="154">
        <f t="shared" si="4"/>
        <v>0.95711001670851104</v>
      </c>
      <c r="J19" s="274">
        <v>0</v>
      </c>
      <c r="K19" s="275">
        <v>2343794</v>
      </c>
      <c r="L19" s="97">
        <f t="shared" si="5"/>
        <v>2343794</v>
      </c>
      <c r="M19" s="275">
        <v>136870</v>
      </c>
      <c r="N19" s="275">
        <v>3054318</v>
      </c>
      <c r="O19" s="97">
        <f t="shared" si="6"/>
        <v>3191188</v>
      </c>
    </row>
    <row r="20" spans="1:16" x14ac:dyDescent="0.35">
      <c r="A20" t="s">
        <v>86</v>
      </c>
      <c r="B20" s="76">
        <f t="shared" si="2"/>
        <v>0</v>
      </c>
      <c r="C20" s="76">
        <f t="shared" si="2"/>
        <v>382804700</v>
      </c>
      <c r="D20" s="76">
        <f t="shared" si="2"/>
        <v>382804700</v>
      </c>
      <c r="E20" s="154">
        <f t="shared" si="3"/>
        <v>1</v>
      </c>
      <c r="F20" s="76">
        <f t="shared" si="0"/>
        <v>97024300</v>
      </c>
      <c r="G20" s="76">
        <f t="shared" si="1"/>
        <v>2188300560</v>
      </c>
      <c r="H20" s="76">
        <f t="shared" si="1"/>
        <v>2285324860</v>
      </c>
      <c r="I20" s="154">
        <f t="shared" si="4"/>
        <v>0.95754463547033741</v>
      </c>
      <c r="J20" s="274">
        <v>0</v>
      </c>
      <c r="K20" s="275">
        <v>1048780</v>
      </c>
      <c r="L20" s="97">
        <f t="shared" si="5"/>
        <v>1048780</v>
      </c>
      <c r="M20" s="275">
        <v>265820</v>
      </c>
      <c r="N20" s="275">
        <v>5995344</v>
      </c>
      <c r="O20" s="97">
        <f t="shared" si="6"/>
        <v>6261164</v>
      </c>
    </row>
    <row r="21" spans="1:16" x14ac:dyDescent="0.35">
      <c r="A21" t="s">
        <v>87</v>
      </c>
      <c r="B21" s="76">
        <f t="shared" si="2"/>
        <v>0</v>
      </c>
      <c r="C21" s="76">
        <f t="shared" si="2"/>
        <v>2647544290</v>
      </c>
      <c r="D21" s="76">
        <f t="shared" si="2"/>
        <v>2647544290</v>
      </c>
      <c r="E21" s="154">
        <f t="shared" si="3"/>
        <v>1</v>
      </c>
      <c r="F21" s="76">
        <f t="shared" si="0"/>
        <v>93425400</v>
      </c>
      <c r="G21" s="76">
        <f>N21*365</f>
        <v>3151999110</v>
      </c>
      <c r="H21" s="76">
        <f>O21*365</f>
        <v>3245424510</v>
      </c>
      <c r="I21" s="154">
        <f t="shared" si="4"/>
        <v>0.97121319577388665</v>
      </c>
      <c r="J21" s="275">
        <v>0</v>
      </c>
      <c r="K21" s="275">
        <v>7253546</v>
      </c>
      <c r="L21" s="97">
        <f t="shared" si="5"/>
        <v>7253546</v>
      </c>
      <c r="M21" s="275">
        <v>255960</v>
      </c>
      <c r="N21" s="275">
        <v>8635614</v>
      </c>
      <c r="O21" s="97">
        <f t="shared" si="6"/>
        <v>8891574</v>
      </c>
    </row>
    <row r="22" spans="1:16" x14ac:dyDescent="0.35">
      <c r="A22" t="s">
        <v>88</v>
      </c>
      <c r="B22" s="76">
        <f t="shared" si="2"/>
        <v>0</v>
      </c>
      <c r="C22" s="76">
        <f t="shared" si="2"/>
        <v>0</v>
      </c>
      <c r="D22" s="76"/>
      <c r="E22" s="154"/>
      <c r="F22" s="76">
        <f t="shared" ref="F22:H31" si="7">M22*365</f>
        <v>8274550</v>
      </c>
      <c r="G22" s="76">
        <f t="shared" si="7"/>
        <v>684318425</v>
      </c>
      <c r="H22" s="76">
        <f t="shared" si="7"/>
        <v>692592975</v>
      </c>
      <c r="I22" s="154">
        <f t="shared" si="4"/>
        <v>0.98805279536657153</v>
      </c>
      <c r="J22" s="274"/>
      <c r="K22" s="274"/>
      <c r="L22" s="97"/>
      <c r="M22" s="275">
        <v>22670</v>
      </c>
      <c r="N22" s="275">
        <v>1874845</v>
      </c>
      <c r="O22" s="97">
        <f t="shared" si="6"/>
        <v>1897515</v>
      </c>
    </row>
    <row r="23" spans="1:16" x14ac:dyDescent="0.35">
      <c r="A23" t="s">
        <v>233</v>
      </c>
      <c r="B23" s="76">
        <f t="shared" si="2"/>
        <v>3328868620</v>
      </c>
      <c r="C23" s="76">
        <f t="shared" si="2"/>
        <v>16893004825</v>
      </c>
      <c r="D23" s="76">
        <f t="shared" si="2"/>
        <v>20221873445</v>
      </c>
      <c r="E23" s="154">
        <f t="shared" si="3"/>
        <v>0.83538277850200438</v>
      </c>
      <c r="F23" s="76">
        <f t="shared" si="7"/>
        <v>2347142355</v>
      </c>
      <c r="G23" s="76">
        <f t="shared" si="7"/>
        <v>9335849915</v>
      </c>
      <c r="H23" s="76">
        <f t="shared" si="7"/>
        <v>11682992270</v>
      </c>
      <c r="I23" s="154">
        <f t="shared" si="4"/>
        <v>0.79909749995922918</v>
      </c>
      <c r="J23" s="275">
        <v>9120188</v>
      </c>
      <c r="K23" s="275">
        <v>46282205</v>
      </c>
      <c r="L23" s="97">
        <f t="shared" si="5"/>
        <v>55402393</v>
      </c>
      <c r="M23" s="275">
        <v>6430527</v>
      </c>
      <c r="N23" s="275">
        <v>25577671</v>
      </c>
      <c r="O23" s="97">
        <f t="shared" si="6"/>
        <v>32008198</v>
      </c>
    </row>
    <row r="24" spans="1:16" x14ac:dyDescent="0.35">
      <c r="A24" t="s">
        <v>90</v>
      </c>
      <c r="B24" s="76">
        <f t="shared" si="2"/>
        <v>0</v>
      </c>
      <c r="C24" s="76">
        <f t="shared" si="2"/>
        <v>0</v>
      </c>
      <c r="D24" s="76"/>
      <c r="E24" s="154"/>
      <c r="F24" s="76">
        <f t="shared" si="7"/>
        <v>4465775</v>
      </c>
      <c r="G24" s="76">
        <f t="shared" si="7"/>
        <v>2434209090</v>
      </c>
      <c r="H24" s="76">
        <f t="shared" si="7"/>
        <v>2438674865</v>
      </c>
      <c r="I24" s="154">
        <f t="shared" si="4"/>
        <v>0.99816876982491887</v>
      </c>
      <c r="J24" s="274"/>
      <c r="K24" s="274"/>
      <c r="L24" s="97"/>
      <c r="M24" s="275">
        <v>12235</v>
      </c>
      <c r="N24" s="275">
        <v>6669066</v>
      </c>
      <c r="O24" s="97">
        <f t="shared" si="6"/>
        <v>6681301</v>
      </c>
    </row>
    <row r="25" spans="1:16" x14ac:dyDescent="0.35">
      <c r="A25" t="s">
        <v>91</v>
      </c>
      <c r="B25" s="76">
        <f t="shared" si="2"/>
        <v>0</v>
      </c>
      <c r="C25" s="76">
        <f t="shared" si="2"/>
        <v>706946965</v>
      </c>
      <c r="D25" s="76">
        <f t="shared" si="2"/>
        <v>706946965</v>
      </c>
      <c r="E25" s="154">
        <f t="shared" si="3"/>
        <v>1</v>
      </c>
      <c r="F25" s="76">
        <f t="shared" si="7"/>
        <v>82547670</v>
      </c>
      <c r="G25" s="76">
        <f t="shared" si="7"/>
        <v>507128080</v>
      </c>
      <c r="H25" s="76">
        <f t="shared" si="7"/>
        <v>589675750</v>
      </c>
      <c r="I25" s="154">
        <f t="shared" si="4"/>
        <v>0.86001176070069019</v>
      </c>
      <c r="J25" s="274">
        <v>0</v>
      </c>
      <c r="K25" s="275">
        <v>1936841</v>
      </c>
      <c r="L25" s="97">
        <f t="shared" si="5"/>
        <v>1936841</v>
      </c>
      <c r="M25" s="275">
        <v>226158</v>
      </c>
      <c r="N25" s="275">
        <v>1389392</v>
      </c>
      <c r="O25" s="97">
        <f t="shared" si="6"/>
        <v>1615550</v>
      </c>
    </row>
    <row r="26" spans="1:16" x14ac:dyDescent="0.35">
      <c r="A26" t="s">
        <v>92</v>
      </c>
      <c r="B26" s="76">
        <f t="shared" si="2"/>
        <v>0</v>
      </c>
      <c r="C26" s="76">
        <f t="shared" si="2"/>
        <v>1700475870</v>
      </c>
      <c r="D26" s="76">
        <f t="shared" si="2"/>
        <v>1700475870</v>
      </c>
      <c r="E26" s="154">
        <f t="shared" si="3"/>
        <v>1</v>
      </c>
      <c r="F26" s="76">
        <f t="shared" si="7"/>
        <v>100022045</v>
      </c>
      <c r="G26" s="76">
        <f t="shared" si="7"/>
        <v>2244314920</v>
      </c>
      <c r="H26" s="76">
        <f t="shared" si="7"/>
        <v>2344336965</v>
      </c>
      <c r="I26" s="154">
        <f t="shared" si="4"/>
        <v>0.95733461251804308</v>
      </c>
      <c r="J26" s="276">
        <v>0</v>
      </c>
      <c r="K26" s="277">
        <v>4658838</v>
      </c>
      <c r="L26" s="97">
        <f t="shared" si="5"/>
        <v>4658838</v>
      </c>
      <c r="M26" s="275">
        <v>274033</v>
      </c>
      <c r="N26" s="275">
        <v>6148808</v>
      </c>
      <c r="O26" s="97">
        <f t="shared" si="6"/>
        <v>6422841</v>
      </c>
    </row>
    <row r="27" spans="1:16" x14ac:dyDescent="0.35">
      <c r="A27" t="s">
        <v>93</v>
      </c>
      <c r="B27" s="76">
        <f t="shared" si="2"/>
        <v>0</v>
      </c>
      <c r="C27" s="76">
        <f t="shared" si="2"/>
        <v>0</v>
      </c>
      <c r="D27" s="76"/>
      <c r="E27" s="154"/>
      <c r="F27" s="76">
        <f t="shared" si="7"/>
        <v>4648275</v>
      </c>
      <c r="G27" s="76">
        <f t="shared" si="7"/>
        <v>1907357870</v>
      </c>
      <c r="H27" s="76">
        <f t="shared" si="7"/>
        <v>1912006145</v>
      </c>
      <c r="I27" s="154">
        <f t="shared" si="4"/>
        <v>0.99756890164178835</v>
      </c>
      <c r="J27" s="274"/>
      <c r="K27" s="274"/>
      <c r="L27" s="97"/>
      <c r="M27" s="275">
        <v>12735</v>
      </c>
      <c r="N27" s="275">
        <v>5225638</v>
      </c>
      <c r="O27" s="97">
        <f t="shared" si="6"/>
        <v>5238373</v>
      </c>
    </row>
    <row r="28" spans="1:16" x14ac:dyDescent="0.35">
      <c r="A28" t="s">
        <v>94</v>
      </c>
      <c r="B28" s="76">
        <f t="shared" si="2"/>
        <v>845359710</v>
      </c>
      <c r="C28" s="76">
        <f t="shared" si="2"/>
        <v>4149377670</v>
      </c>
      <c r="D28" s="76">
        <f t="shared" si="2"/>
        <v>4994737380</v>
      </c>
      <c r="E28" s="154">
        <f t="shared" si="3"/>
        <v>0.83074991822693189</v>
      </c>
      <c r="F28" s="76">
        <f t="shared" si="7"/>
        <v>90002430</v>
      </c>
      <c r="G28" s="76">
        <f t="shared" si="7"/>
        <v>1655179370</v>
      </c>
      <c r="H28" s="76">
        <f t="shared" si="7"/>
        <v>1745181800</v>
      </c>
      <c r="I28" s="154">
        <f t="shared" si="4"/>
        <v>0.94842804915797307</v>
      </c>
      <c r="J28" s="275">
        <v>2316054</v>
      </c>
      <c r="K28" s="275">
        <v>11368158</v>
      </c>
      <c r="L28" s="97">
        <f t="shared" si="5"/>
        <v>13684212</v>
      </c>
      <c r="M28" s="275">
        <v>246582</v>
      </c>
      <c r="N28" s="275">
        <v>4534738</v>
      </c>
      <c r="O28" s="97">
        <f t="shared" si="6"/>
        <v>4781320</v>
      </c>
    </row>
    <row r="29" spans="1:16" x14ac:dyDescent="0.35">
      <c r="A29" t="s">
        <v>95</v>
      </c>
      <c r="B29" s="76">
        <f t="shared" si="2"/>
        <v>0</v>
      </c>
      <c r="C29" s="76">
        <f t="shared" si="2"/>
        <v>349159000</v>
      </c>
      <c r="D29" s="76">
        <f t="shared" si="2"/>
        <v>349159000</v>
      </c>
      <c r="E29" s="154">
        <f t="shared" si="3"/>
        <v>1</v>
      </c>
      <c r="F29" s="76">
        <f t="shared" si="7"/>
        <v>64234525</v>
      </c>
      <c r="G29" s="76">
        <f t="shared" si="7"/>
        <v>1035469960</v>
      </c>
      <c r="H29" s="76">
        <f t="shared" si="7"/>
        <v>1099704485</v>
      </c>
      <c r="I29" s="154">
        <f t="shared" si="4"/>
        <v>0.94158928523420549</v>
      </c>
      <c r="J29" s="274">
        <v>0</v>
      </c>
      <c r="K29" s="275">
        <v>956600</v>
      </c>
      <c r="L29" s="97">
        <f t="shared" si="5"/>
        <v>956600</v>
      </c>
      <c r="M29" s="275">
        <v>175985</v>
      </c>
      <c r="N29" s="275">
        <v>2836904</v>
      </c>
      <c r="O29" s="97">
        <f t="shared" si="6"/>
        <v>3012889</v>
      </c>
    </row>
    <row r="30" spans="1:16" x14ac:dyDescent="0.35">
      <c r="A30" s="278" t="s">
        <v>96</v>
      </c>
      <c r="B30" s="279">
        <f>J30*365</f>
        <v>372840565</v>
      </c>
      <c r="C30" s="279">
        <f>K30*365</f>
        <v>4950145330</v>
      </c>
      <c r="D30" s="279">
        <f>L30*365</f>
        <v>5322985895</v>
      </c>
      <c r="E30" s="280">
        <f>C30/D30</f>
        <v>0.92995649953718318</v>
      </c>
      <c r="F30" s="279">
        <f>M30*365</f>
        <v>332602235</v>
      </c>
      <c r="G30" s="279">
        <f>N30*365</f>
        <v>5373087985</v>
      </c>
      <c r="H30" s="279">
        <f>O30*365</f>
        <v>5705690220</v>
      </c>
      <c r="I30" s="280">
        <f>G30/H30</f>
        <v>0.94170692375934839</v>
      </c>
      <c r="J30" s="281">
        <v>1021481</v>
      </c>
      <c r="K30" s="282">
        <v>13562042</v>
      </c>
      <c r="L30" s="283">
        <f t="shared" si="5"/>
        <v>14583523</v>
      </c>
      <c r="M30" s="282">
        <v>911239</v>
      </c>
      <c r="N30" s="282">
        <v>14720789</v>
      </c>
      <c r="O30" s="283">
        <f t="shared" si="6"/>
        <v>15632028</v>
      </c>
      <c r="P30" s="278"/>
    </row>
    <row r="31" spans="1:16" x14ac:dyDescent="0.35">
      <c r="A31" t="s">
        <v>99</v>
      </c>
      <c r="B31" s="76">
        <f t="shared" si="2"/>
        <v>0</v>
      </c>
      <c r="C31" s="76">
        <f t="shared" si="2"/>
        <v>25124211440</v>
      </c>
      <c r="D31" s="76">
        <f t="shared" si="2"/>
        <v>25124211440</v>
      </c>
      <c r="E31" s="154">
        <f t="shared" si="3"/>
        <v>1</v>
      </c>
      <c r="F31" s="76">
        <f t="shared" si="7"/>
        <v>636928650</v>
      </c>
      <c r="G31" s="76">
        <f t="shared" si="7"/>
        <v>30532729975</v>
      </c>
      <c r="H31" s="76">
        <f t="shared" si="7"/>
        <v>31169658625</v>
      </c>
      <c r="I31" s="154">
        <f t="shared" si="4"/>
        <v>0.97956574829186149</v>
      </c>
      <c r="J31" s="275">
        <v>0</v>
      </c>
      <c r="K31" s="275">
        <v>68833456</v>
      </c>
      <c r="L31" s="97">
        <f>+J31++K31</f>
        <v>68833456</v>
      </c>
      <c r="M31" s="275">
        <v>1745010</v>
      </c>
      <c r="N31" s="275">
        <v>83651315</v>
      </c>
      <c r="O31" s="97">
        <f t="shared" si="6"/>
        <v>85396325</v>
      </c>
    </row>
    <row r="32" spans="1:16" x14ac:dyDescent="0.35">
      <c r="A32" t="s">
        <v>439</v>
      </c>
      <c r="B32" s="76">
        <f t="shared" si="2"/>
        <v>26744678580</v>
      </c>
      <c r="C32" s="76">
        <f t="shared" si="2"/>
        <v>163487744585</v>
      </c>
      <c r="D32" s="76">
        <f t="shared" si="2"/>
        <v>190232423165</v>
      </c>
      <c r="E32" s="154">
        <f t="shared" si="3"/>
        <v>0.85941051406992419</v>
      </c>
      <c r="F32" s="76">
        <f>M32*365</f>
        <v>17684252555</v>
      </c>
      <c r="G32" s="76">
        <f>N32*365</f>
        <v>173574662665</v>
      </c>
      <c r="H32" s="76">
        <f>O32*365</f>
        <v>191258915220</v>
      </c>
      <c r="I32" s="154">
        <f t="shared" si="4"/>
        <v>0.90753763015617717</v>
      </c>
      <c r="J32" s="97">
        <f t="shared" ref="J32:O32" si="8">SUM(J5:J29,J31)</f>
        <v>73273092</v>
      </c>
      <c r="K32" s="97">
        <f t="shared" si="8"/>
        <v>447911629</v>
      </c>
      <c r="L32" s="97">
        <f t="shared" si="8"/>
        <v>521184721</v>
      </c>
      <c r="M32" s="97">
        <f t="shared" si="8"/>
        <v>48450007</v>
      </c>
      <c r="N32" s="97">
        <f t="shared" si="8"/>
        <v>475547021</v>
      </c>
      <c r="O32" s="97">
        <f t="shared" si="8"/>
        <v>523997028</v>
      </c>
    </row>
    <row r="33" spans="1:15" s="32" customFormat="1" x14ac:dyDescent="0.35">
      <c r="B33" s="40"/>
      <c r="C33" s="40"/>
      <c r="D33" s="40"/>
      <c r="E33" s="30"/>
      <c r="F33" s="40"/>
      <c r="G33" s="40"/>
      <c r="H33" s="29"/>
      <c r="I33" s="30"/>
    </row>
    <row r="34" spans="1:15" s="5" customFormat="1" ht="15" customHeight="1" x14ac:dyDescent="0.35">
      <c r="A34" s="674" t="s">
        <v>128</v>
      </c>
      <c r="B34" s="675" t="s">
        <v>455</v>
      </c>
      <c r="C34" s="675"/>
      <c r="D34" s="675"/>
      <c r="E34" s="28"/>
      <c r="F34" s="46"/>
      <c r="G34" s="6"/>
      <c r="H34" s="6"/>
      <c r="I34" s="159"/>
      <c r="J34" s="46"/>
      <c r="K34" s="51"/>
      <c r="L34" s="51"/>
      <c r="N34" s="51"/>
      <c r="O34" s="51"/>
    </row>
    <row r="35" spans="1:15" s="5" customFormat="1" ht="15" customHeight="1" x14ac:dyDescent="0.35">
      <c r="A35" s="674"/>
      <c r="B35" s="6" t="s">
        <v>194</v>
      </c>
      <c r="C35" s="6" t="s">
        <v>127</v>
      </c>
      <c r="D35" s="6" t="s">
        <v>441</v>
      </c>
      <c r="E35" s="28"/>
      <c r="F35" s="46"/>
      <c r="G35" s="6"/>
      <c r="H35" s="6"/>
      <c r="I35" s="159"/>
      <c r="J35" s="46"/>
      <c r="K35" s="51"/>
      <c r="L35" s="51"/>
      <c r="N35" s="51"/>
      <c r="O35" s="51"/>
    </row>
    <row r="36" spans="1:15" s="3" customFormat="1" ht="14.9" customHeight="1" x14ac:dyDescent="0.35">
      <c r="A36" t="s">
        <v>71</v>
      </c>
      <c r="B36" s="287">
        <v>41.054999999999993</v>
      </c>
      <c r="C36" s="287">
        <v>44.851039999999976</v>
      </c>
      <c r="D36" s="16">
        <f>C36/B36</f>
        <v>1.0924623066617947</v>
      </c>
      <c r="E36" s="99"/>
      <c r="F36" s="99"/>
      <c r="G36" s="13"/>
      <c r="H36" s="22"/>
      <c r="I36" s="13"/>
      <c r="J36" s="4"/>
      <c r="K36" s="25"/>
      <c r="L36" s="14"/>
    </row>
    <row r="37" spans="1:15" x14ac:dyDescent="0.35">
      <c r="A37" t="s">
        <v>72</v>
      </c>
      <c r="B37" s="287">
        <v>110.58099999999996</v>
      </c>
      <c r="C37" s="287">
        <v>129.53964999999999</v>
      </c>
      <c r="D37" s="16">
        <f t="shared" ref="D37:D62" si="9">C37/B37</f>
        <v>1.1714458179976672</v>
      </c>
      <c r="E37" s="99"/>
      <c r="F37" s="99"/>
      <c r="G37" s="13"/>
      <c r="H37" s="22"/>
      <c r="I37" s="13"/>
      <c r="J37" s="4"/>
      <c r="K37" s="26"/>
      <c r="L37" s="73"/>
    </row>
    <row r="38" spans="1:15" x14ac:dyDescent="0.35">
      <c r="A38" t="s">
        <v>73</v>
      </c>
      <c r="B38" s="287">
        <v>183.22199999999998</v>
      </c>
      <c r="C38" s="287">
        <v>313.60457000000014</v>
      </c>
      <c r="D38" s="16">
        <f t="shared" si="9"/>
        <v>1.7116097957668848</v>
      </c>
      <c r="E38" s="99"/>
      <c r="F38" s="99"/>
      <c r="G38" s="13"/>
      <c r="H38" s="22"/>
      <c r="I38" s="13"/>
      <c r="J38" s="4"/>
      <c r="L38" s="72"/>
    </row>
    <row r="39" spans="1:15" x14ac:dyDescent="0.35">
      <c r="A39" t="s">
        <v>74</v>
      </c>
      <c r="B39" s="287">
        <v>106.15199999999997</v>
      </c>
      <c r="C39" s="287">
        <v>141.90958000000003</v>
      </c>
      <c r="D39" s="16">
        <f t="shared" si="9"/>
        <v>1.3368526264224891</v>
      </c>
      <c r="E39" s="99"/>
      <c r="F39" s="99"/>
      <c r="G39" s="13"/>
      <c r="H39" s="22"/>
      <c r="I39" s="13"/>
      <c r="J39" s="4"/>
      <c r="L39" s="27"/>
    </row>
    <row r="40" spans="1:15" x14ac:dyDescent="0.35">
      <c r="A40" t="s">
        <v>75</v>
      </c>
      <c r="B40" s="287">
        <v>49.434999999999981</v>
      </c>
      <c r="C40" s="287">
        <v>72.342980000000011</v>
      </c>
      <c r="D40" s="16">
        <f t="shared" si="9"/>
        <v>1.4633959745119862</v>
      </c>
      <c r="E40" s="99"/>
      <c r="F40" s="99"/>
      <c r="G40" s="13"/>
      <c r="H40" s="22"/>
      <c r="I40" s="13"/>
      <c r="J40" s="4"/>
      <c r="L40" s="27"/>
    </row>
    <row r="41" spans="1:15" x14ac:dyDescent="0.35">
      <c r="A41" t="s">
        <v>76</v>
      </c>
      <c r="B41" s="287"/>
      <c r="C41" s="287"/>
      <c r="D41" s="16"/>
      <c r="E41" s="99"/>
      <c r="F41" s="99"/>
      <c r="G41" s="13"/>
      <c r="H41" s="22"/>
      <c r="I41" s="13"/>
      <c r="J41" s="4"/>
      <c r="L41" s="27"/>
    </row>
    <row r="42" spans="1:15" x14ac:dyDescent="0.35">
      <c r="A42" t="s">
        <v>77</v>
      </c>
      <c r="B42" s="287">
        <v>43.692</v>
      </c>
      <c r="C42" s="287">
        <v>49.865400000000008</v>
      </c>
      <c r="D42" s="16">
        <f t="shared" si="9"/>
        <v>1.1412936006591599</v>
      </c>
      <c r="E42" s="99"/>
      <c r="F42" s="99"/>
      <c r="G42" s="13"/>
      <c r="H42" s="22"/>
      <c r="I42" s="13"/>
      <c r="J42" s="4"/>
      <c r="L42" s="27"/>
    </row>
    <row r="43" spans="1:15" x14ac:dyDescent="0.35">
      <c r="A43" t="s">
        <v>78</v>
      </c>
      <c r="B43" s="287">
        <v>1187.154</v>
      </c>
      <c r="C43" s="287">
        <v>2090.1397400000023</v>
      </c>
      <c r="D43" s="16">
        <f t="shared" si="9"/>
        <v>1.7606306679672581</v>
      </c>
      <c r="E43" s="99"/>
      <c r="F43" s="99"/>
      <c r="G43" s="13"/>
      <c r="H43" s="22"/>
      <c r="I43" s="13"/>
      <c r="J43" s="4"/>
      <c r="L43" s="27"/>
    </row>
    <row r="44" spans="1:15" x14ac:dyDescent="0.35">
      <c r="A44" t="s">
        <v>79</v>
      </c>
      <c r="B44" s="287">
        <v>126.34500000000008</v>
      </c>
      <c r="C44" s="287">
        <v>183.66956000000008</v>
      </c>
      <c r="D44" s="16">
        <f t="shared" si="9"/>
        <v>1.453714511852467</v>
      </c>
      <c r="E44" s="99"/>
      <c r="F44" s="99"/>
      <c r="G44" s="13"/>
      <c r="H44" s="22"/>
      <c r="I44" s="13"/>
      <c r="J44" s="4"/>
      <c r="L44" s="27"/>
    </row>
    <row r="45" spans="1:15" x14ac:dyDescent="0.35">
      <c r="A45" t="s">
        <v>80</v>
      </c>
      <c r="B45" s="287">
        <v>69.319000000000045</v>
      </c>
      <c r="C45" s="287">
        <v>78.705510000000004</v>
      </c>
      <c r="D45" s="16">
        <f t="shared" si="9"/>
        <v>1.1354103492548933</v>
      </c>
      <c r="E45" s="99"/>
      <c r="F45" s="99"/>
      <c r="G45" s="13"/>
      <c r="H45" s="22"/>
      <c r="I45" s="13"/>
      <c r="J45" s="4"/>
      <c r="L45" s="27"/>
    </row>
    <row r="46" spans="1:15" x14ac:dyDescent="0.35">
      <c r="A46" t="s">
        <v>81</v>
      </c>
      <c r="B46" s="287">
        <v>112.61200000000001</v>
      </c>
      <c r="C46" s="287">
        <v>166.96122999999997</v>
      </c>
      <c r="D46" s="16">
        <f t="shared" si="9"/>
        <v>1.4826237878734057</v>
      </c>
      <c r="E46" s="99"/>
      <c r="F46" s="99"/>
      <c r="G46" s="13"/>
      <c r="H46" s="22"/>
      <c r="I46" s="13"/>
      <c r="J46" s="4"/>
      <c r="L46" s="27"/>
    </row>
    <row r="47" spans="1:15" x14ac:dyDescent="0.35">
      <c r="A47" t="s">
        <v>82</v>
      </c>
      <c r="B47" s="287">
        <v>822.40799999999956</v>
      </c>
      <c r="C47" s="287">
        <v>1577.4396300000012</v>
      </c>
      <c r="D47" s="16">
        <f t="shared" si="9"/>
        <v>1.9180742770011989</v>
      </c>
      <c r="E47" s="99"/>
      <c r="F47" s="99"/>
      <c r="G47" s="13"/>
      <c r="H47" s="22"/>
      <c r="I47" s="13"/>
      <c r="J47" s="4"/>
      <c r="L47" s="27"/>
    </row>
    <row r="48" spans="1:15" x14ac:dyDescent="0.35">
      <c r="A48" t="s">
        <v>83</v>
      </c>
      <c r="B48" s="287">
        <v>127.06199999999997</v>
      </c>
      <c r="C48" s="287">
        <v>164.57449999999997</v>
      </c>
      <c r="D48" s="16">
        <f t="shared" si="9"/>
        <v>1.2952298877713244</v>
      </c>
      <c r="E48" s="99"/>
      <c r="F48" s="99"/>
      <c r="G48" s="13"/>
      <c r="H48" s="22"/>
      <c r="I48" s="13"/>
      <c r="J48" s="4"/>
      <c r="L48" s="27"/>
    </row>
    <row r="49" spans="1:12" x14ac:dyDescent="0.35">
      <c r="A49" t="s">
        <v>84</v>
      </c>
      <c r="B49" s="287">
        <v>40.121000000000002</v>
      </c>
      <c r="C49" s="287">
        <v>53.768509999999999</v>
      </c>
      <c r="D49" s="16">
        <f t="shared" si="9"/>
        <v>1.340158769721592</v>
      </c>
      <c r="E49" s="99"/>
      <c r="F49" s="99"/>
      <c r="G49" s="13"/>
      <c r="H49" s="22"/>
      <c r="I49" s="13"/>
      <c r="J49" s="4"/>
      <c r="L49" s="27"/>
    </row>
    <row r="50" spans="1:12" x14ac:dyDescent="0.35">
      <c r="A50" t="s">
        <v>85</v>
      </c>
      <c r="B50" s="287">
        <v>31.581</v>
      </c>
      <c r="C50" s="287">
        <v>24.767230000000005</v>
      </c>
      <c r="D50" s="16">
        <f t="shared" si="9"/>
        <v>0.7842446407650171</v>
      </c>
      <c r="E50" s="99"/>
      <c r="F50" s="99"/>
      <c r="G50" s="13"/>
      <c r="H50" s="22"/>
      <c r="I50" s="13"/>
      <c r="J50" s="4"/>
      <c r="L50" s="27"/>
    </row>
    <row r="51" spans="1:12" x14ac:dyDescent="0.35">
      <c r="A51" t="s">
        <v>86</v>
      </c>
      <c r="B51" s="287">
        <v>26.326000000000001</v>
      </c>
      <c r="C51" s="287">
        <v>32.883799999999994</v>
      </c>
      <c r="D51" s="16">
        <f t="shared" si="9"/>
        <v>1.2490997492972724</v>
      </c>
      <c r="E51" s="99"/>
      <c r="F51" s="99"/>
      <c r="G51" s="13"/>
      <c r="H51" s="22"/>
      <c r="I51" s="13"/>
      <c r="J51" s="4"/>
      <c r="L51" s="27"/>
    </row>
    <row r="52" spans="1:12" x14ac:dyDescent="0.35">
      <c r="A52" t="s">
        <v>87</v>
      </c>
      <c r="B52" s="287">
        <v>92.272000000000048</v>
      </c>
      <c r="C52" s="287">
        <v>92.948209999999975</v>
      </c>
      <c r="D52" s="16">
        <f t="shared" si="9"/>
        <v>1.0073284419975717</v>
      </c>
      <c r="E52" s="99"/>
      <c r="F52" s="99"/>
      <c r="G52" s="13"/>
      <c r="H52" s="22"/>
      <c r="I52" s="13"/>
      <c r="J52" s="4"/>
      <c r="L52" s="27"/>
    </row>
    <row r="53" spans="1:12" x14ac:dyDescent="0.35">
      <c r="A53" t="s">
        <v>88</v>
      </c>
      <c r="B53" s="287"/>
      <c r="C53" s="287"/>
      <c r="D53" s="16"/>
      <c r="E53" s="99"/>
      <c r="F53" s="99"/>
      <c r="G53" s="13"/>
      <c r="H53" s="22"/>
      <c r="I53" s="13"/>
      <c r="J53" s="4"/>
    </row>
    <row r="54" spans="1:12" x14ac:dyDescent="0.35">
      <c r="A54" t="s">
        <v>233</v>
      </c>
      <c r="B54" s="287">
        <v>491.01600000000042</v>
      </c>
      <c r="C54" s="287">
        <v>761.80154999999979</v>
      </c>
      <c r="D54" s="16">
        <f t="shared" si="9"/>
        <v>1.5514800943350098</v>
      </c>
      <c r="E54" s="99"/>
      <c r="F54" s="99"/>
      <c r="G54" s="13"/>
      <c r="H54" s="22"/>
      <c r="I54" s="13"/>
      <c r="J54" s="4"/>
      <c r="L54" s="27"/>
    </row>
    <row r="55" spans="1:12" x14ac:dyDescent="0.35">
      <c r="A55" t="s">
        <v>90</v>
      </c>
      <c r="B55" s="287"/>
      <c r="C55" s="287"/>
      <c r="D55" s="16"/>
      <c r="E55" s="99"/>
      <c r="F55" s="99"/>
      <c r="G55" s="13"/>
      <c r="H55" s="22"/>
      <c r="I55" s="13"/>
      <c r="J55" s="4"/>
      <c r="L55" s="27"/>
    </row>
    <row r="56" spans="1:12" x14ac:dyDescent="0.35">
      <c r="A56" t="s">
        <v>91</v>
      </c>
      <c r="B56" s="287">
        <v>29.545999999999999</v>
      </c>
      <c r="C56" s="287">
        <v>33.13944</v>
      </c>
      <c r="D56" s="16">
        <f t="shared" si="9"/>
        <v>1.1216218777499494</v>
      </c>
      <c r="E56" s="99"/>
      <c r="F56" s="99"/>
      <c r="G56" s="13"/>
      <c r="H56" s="22"/>
      <c r="I56" s="13"/>
      <c r="J56" s="4"/>
      <c r="L56" s="27"/>
    </row>
    <row r="57" spans="1:12" x14ac:dyDescent="0.35">
      <c r="A57" t="s">
        <v>92</v>
      </c>
      <c r="B57" s="287">
        <v>62.130999999999993</v>
      </c>
      <c r="C57" s="287">
        <v>68.913350000000037</v>
      </c>
      <c r="D57" s="16">
        <f t="shared" si="9"/>
        <v>1.1091620929970554</v>
      </c>
      <c r="E57" s="99"/>
      <c r="F57" s="99"/>
      <c r="G57" s="13"/>
      <c r="H57" s="22"/>
      <c r="I57" s="13"/>
      <c r="J57" s="4"/>
      <c r="L57" s="27"/>
    </row>
    <row r="58" spans="1:12" x14ac:dyDescent="0.35">
      <c r="A58" t="s">
        <v>93</v>
      </c>
      <c r="B58" s="287"/>
      <c r="C58" s="287"/>
      <c r="D58" s="16"/>
      <c r="E58" s="99"/>
      <c r="F58" s="99"/>
      <c r="G58" s="13"/>
      <c r="H58" s="22"/>
      <c r="I58" s="13"/>
      <c r="J58" s="4"/>
      <c r="L58" s="27"/>
    </row>
    <row r="59" spans="1:12" x14ac:dyDescent="0.35">
      <c r="A59" t="s">
        <v>94</v>
      </c>
      <c r="B59" s="287">
        <v>80.424999999999983</v>
      </c>
      <c r="C59" s="287">
        <v>140.46935999999994</v>
      </c>
      <c r="D59" s="16">
        <f t="shared" si="9"/>
        <v>1.7465882499222873</v>
      </c>
      <c r="E59" s="99"/>
      <c r="F59" s="99"/>
      <c r="G59" s="13"/>
      <c r="H59" s="22"/>
      <c r="I59" s="13"/>
      <c r="J59" s="4"/>
      <c r="L59" s="27"/>
    </row>
    <row r="60" spans="1:12" x14ac:dyDescent="0.35">
      <c r="A60" t="s">
        <v>95</v>
      </c>
      <c r="B60" s="287">
        <v>21.596</v>
      </c>
      <c r="C60" s="287">
        <v>24.804880000000001</v>
      </c>
      <c r="D60" s="16">
        <f t="shared" si="9"/>
        <v>1.1485867753287646</v>
      </c>
      <c r="E60" s="99"/>
      <c r="F60" s="99"/>
      <c r="G60" s="13"/>
      <c r="H60" s="22"/>
      <c r="I60" s="13"/>
      <c r="J60" s="4"/>
      <c r="L60" s="27"/>
    </row>
    <row r="61" spans="1:12" x14ac:dyDescent="0.35">
      <c r="A61" s="278" t="s">
        <v>96</v>
      </c>
      <c r="B61" s="284">
        <v>231.36</v>
      </c>
      <c r="C61" s="284">
        <v>318.01</v>
      </c>
      <c r="D61" s="285">
        <f t="shared" si="9"/>
        <v>1.3745245504840939</v>
      </c>
      <c r="E61" s="284"/>
      <c r="F61" s="99"/>
      <c r="G61" s="13"/>
      <c r="H61" s="22"/>
      <c r="I61" s="13"/>
      <c r="J61" s="4"/>
      <c r="L61" s="27"/>
    </row>
    <row r="62" spans="1:12" x14ac:dyDescent="0.35">
      <c r="A62" t="s">
        <v>99</v>
      </c>
      <c r="B62" s="287">
        <v>3466.3480000000072</v>
      </c>
      <c r="C62" s="287">
        <v>3814.8636599999959</v>
      </c>
      <c r="D62" s="16">
        <f t="shared" si="9"/>
        <v>1.1005426056472078</v>
      </c>
      <c r="E62" s="99"/>
      <c r="F62" s="99"/>
      <c r="G62" s="13"/>
      <c r="H62" s="22"/>
      <c r="I62" s="13"/>
      <c r="J62" s="4"/>
      <c r="L62" s="27"/>
    </row>
    <row r="63" spans="1:12" s="32" customFormat="1" x14ac:dyDescent="0.35">
      <c r="B63" s="41"/>
      <c r="F63" s="42"/>
      <c r="G63" s="40"/>
      <c r="H63" s="29"/>
      <c r="I63" s="30"/>
      <c r="K63" s="41"/>
    </row>
  </sheetData>
  <mergeCells count="8">
    <mergeCell ref="A34:A35"/>
    <mergeCell ref="B34:D34"/>
    <mergeCell ref="B2:I2"/>
    <mergeCell ref="J2:O2"/>
    <mergeCell ref="B3:E3"/>
    <mergeCell ref="F3:I3"/>
    <mergeCell ref="J3:L3"/>
    <mergeCell ref="M3:O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9"/>
  <sheetViews>
    <sheetView workbookViewId="0"/>
  </sheetViews>
  <sheetFormatPr defaultRowHeight="14.5" x14ac:dyDescent="0.35"/>
  <cols>
    <col min="1" max="2" width="8" customWidth="1"/>
    <col min="3" max="5" width="13" customWidth="1"/>
    <col min="6" max="6" width="12.453125" style="1" customWidth="1"/>
    <col min="7" max="7" width="12.26953125" style="1" customWidth="1"/>
    <col min="8" max="8" width="9.26953125"/>
    <col min="9" max="9" width="11.26953125" style="51" bestFit="1" customWidth="1"/>
    <col min="10" max="10" width="9.26953125" style="193"/>
    <col min="11" max="256" width="9.26953125"/>
    <col min="257" max="258" width="8" customWidth="1"/>
    <col min="259" max="261" width="13" customWidth="1"/>
    <col min="262" max="263" width="11" customWidth="1"/>
    <col min="264" max="512" width="9.26953125"/>
    <col min="513" max="514" width="8" customWidth="1"/>
    <col min="515" max="517" width="13" customWidth="1"/>
    <col min="518" max="519" width="11" customWidth="1"/>
    <col min="520" max="768" width="9.26953125"/>
    <col min="769" max="770" width="8" customWidth="1"/>
    <col min="771" max="773" width="13" customWidth="1"/>
    <col min="774" max="775" width="11" customWidth="1"/>
    <col min="776" max="1024" width="9.26953125"/>
    <col min="1025" max="1026" width="8" customWidth="1"/>
    <col min="1027" max="1029" width="13" customWidth="1"/>
    <col min="1030" max="1031" width="11" customWidth="1"/>
    <col min="1032" max="1280" width="9.26953125"/>
    <col min="1281" max="1282" width="8" customWidth="1"/>
    <col min="1283" max="1285" width="13" customWidth="1"/>
    <col min="1286" max="1287" width="11" customWidth="1"/>
    <col min="1288" max="1536" width="9.26953125"/>
    <col min="1537" max="1538" width="8" customWidth="1"/>
    <col min="1539" max="1541" width="13" customWidth="1"/>
    <col min="1542" max="1543" width="11" customWidth="1"/>
    <col min="1544" max="1792" width="9.26953125"/>
    <col min="1793" max="1794" width="8" customWidth="1"/>
    <col min="1795" max="1797" width="13" customWidth="1"/>
    <col min="1798" max="1799" width="11" customWidth="1"/>
    <col min="1800" max="2048" width="9.26953125"/>
    <col min="2049" max="2050" width="8" customWidth="1"/>
    <col min="2051" max="2053" width="13" customWidth="1"/>
    <col min="2054" max="2055" width="11" customWidth="1"/>
    <col min="2056" max="2304" width="9.26953125"/>
    <col min="2305" max="2306" width="8" customWidth="1"/>
    <col min="2307" max="2309" width="13" customWidth="1"/>
    <col min="2310" max="2311" width="11" customWidth="1"/>
    <col min="2312" max="2560" width="9.26953125"/>
    <col min="2561" max="2562" width="8" customWidth="1"/>
    <col min="2563" max="2565" width="13" customWidth="1"/>
    <col min="2566" max="2567" width="11" customWidth="1"/>
    <col min="2568" max="2816" width="9.26953125"/>
    <col min="2817" max="2818" width="8" customWidth="1"/>
    <col min="2819" max="2821" width="13" customWidth="1"/>
    <col min="2822" max="2823" width="11" customWidth="1"/>
    <col min="2824" max="3072" width="9.26953125"/>
    <col min="3073" max="3074" width="8" customWidth="1"/>
    <col min="3075" max="3077" width="13" customWidth="1"/>
    <col min="3078" max="3079" width="11" customWidth="1"/>
    <col min="3080" max="3328" width="9.26953125"/>
    <col min="3329" max="3330" width="8" customWidth="1"/>
    <col min="3331" max="3333" width="13" customWidth="1"/>
    <col min="3334" max="3335" width="11" customWidth="1"/>
    <col min="3336" max="3584" width="9.26953125"/>
    <col min="3585" max="3586" width="8" customWidth="1"/>
    <col min="3587" max="3589" width="13" customWidth="1"/>
    <col min="3590" max="3591" width="11" customWidth="1"/>
    <col min="3592" max="3840" width="9.26953125"/>
    <col min="3841" max="3842" width="8" customWidth="1"/>
    <col min="3843" max="3845" width="13" customWidth="1"/>
    <col min="3846" max="3847" width="11" customWidth="1"/>
    <col min="3848" max="4096" width="9.26953125"/>
    <col min="4097" max="4098" width="8" customWidth="1"/>
    <col min="4099" max="4101" width="13" customWidth="1"/>
    <col min="4102" max="4103" width="11" customWidth="1"/>
    <col min="4104" max="4352" width="9.26953125"/>
    <col min="4353" max="4354" width="8" customWidth="1"/>
    <col min="4355" max="4357" width="13" customWidth="1"/>
    <col min="4358" max="4359" width="11" customWidth="1"/>
    <col min="4360" max="4608" width="9.26953125"/>
    <col min="4609" max="4610" width="8" customWidth="1"/>
    <col min="4611" max="4613" width="13" customWidth="1"/>
    <col min="4614" max="4615" width="11" customWidth="1"/>
    <col min="4616" max="4864" width="9.26953125"/>
    <col min="4865" max="4866" width="8" customWidth="1"/>
    <col min="4867" max="4869" width="13" customWidth="1"/>
    <col min="4870" max="4871" width="11" customWidth="1"/>
    <col min="4872" max="5120" width="9.26953125"/>
    <col min="5121" max="5122" width="8" customWidth="1"/>
    <col min="5123" max="5125" width="13" customWidth="1"/>
    <col min="5126" max="5127" width="11" customWidth="1"/>
    <col min="5128" max="5376" width="9.26953125"/>
    <col min="5377" max="5378" width="8" customWidth="1"/>
    <col min="5379" max="5381" width="13" customWidth="1"/>
    <col min="5382" max="5383" width="11" customWidth="1"/>
    <col min="5384" max="5632" width="9.26953125"/>
    <col min="5633" max="5634" width="8" customWidth="1"/>
    <col min="5635" max="5637" width="13" customWidth="1"/>
    <col min="5638" max="5639" width="11" customWidth="1"/>
    <col min="5640" max="5888" width="9.26953125"/>
    <col min="5889" max="5890" width="8" customWidth="1"/>
    <col min="5891" max="5893" width="13" customWidth="1"/>
    <col min="5894" max="5895" width="11" customWidth="1"/>
    <col min="5896" max="6144" width="9.26953125"/>
    <col min="6145" max="6146" width="8" customWidth="1"/>
    <col min="6147" max="6149" width="13" customWidth="1"/>
    <col min="6150" max="6151" width="11" customWidth="1"/>
    <col min="6152" max="6400" width="9.26953125"/>
    <col min="6401" max="6402" width="8" customWidth="1"/>
    <col min="6403" max="6405" width="13" customWidth="1"/>
    <col min="6406" max="6407" width="11" customWidth="1"/>
    <col min="6408" max="6656" width="9.26953125"/>
    <col min="6657" max="6658" width="8" customWidth="1"/>
    <col min="6659" max="6661" width="13" customWidth="1"/>
    <col min="6662" max="6663" width="11" customWidth="1"/>
    <col min="6664" max="6912" width="9.26953125"/>
    <col min="6913" max="6914" width="8" customWidth="1"/>
    <col min="6915" max="6917" width="13" customWidth="1"/>
    <col min="6918" max="6919" width="11" customWidth="1"/>
    <col min="6920" max="7168" width="9.26953125"/>
    <col min="7169" max="7170" width="8" customWidth="1"/>
    <col min="7171" max="7173" width="13" customWidth="1"/>
    <col min="7174" max="7175" width="11" customWidth="1"/>
    <col min="7176" max="7424" width="9.26953125"/>
    <col min="7425" max="7426" width="8" customWidth="1"/>
    <col min="7427" max="7429" width="13" customWidth="1"/>
    <col min="7430" max="7431" width="11" customWidth="1"/>
    <col min="7432" max="7680" width="9.26953125"/>
    <col min="7681" max="7682" width="8" customWidth="1"/>
    <col min="7683" max="7685" width="13" customWidth="1"/>
    <col min="7686" max="7687" width="11" customWidth="1"/>
    <col min="7688" max="7936" width="9.26953125"/>
    <col min="7937" max="7938" width="8" customWidth="1"/>
    <col min="7939" max="7941" width="13" customWidth="1"/>
    <col min="7942" max="7943" width="11" customWidth="1"/>
    <col min="7944" max="8192" width="9.26953125"/>
    <col min="8193" max="8194" width="8" customWidth="1"/>
    <col min="8195" max="8197" width="13" customWidth="1"/>
    <col min="8198" max="8199" width="11" customWidth="1"/>
    <col min="8200" max="8448" width="9.26953125"/>
    <col min="8449" max="8450" width="8" customWidth="1"/>
    <col min="8451" max="8453" width="13" customWidth="1"/>
    <col min="8454" max="8455" width="11" customWidth="1"/>
    <col min="8456" max="8704" width="9.26953125"/>
    <col min="8705" max="8706" width="8" customWidth="1"/>
    <col min="8707" max="8709" width="13" customWidth="1"/>
    <col min="8710" max="8711" width="11" customWidth="1"/>
    <col min="8712" max="8960" width="9.26953125"/>
    <col min="8961" max="8962" width="8" customWidth="1"/>
    <col min="8963" max="8965" width="13" customWidth="1"/>
    <col min="8966" max="8967" width="11" customWidth="1"/>
    <col min="8968" max="9216" width="9.26953125"/>
    <col min="9217" max="9218" width="8" customWidth="1"/>
    <col min="9219" max="9221" width="13" customWidth="1"/>
    <col min="9222" max="9223" width="11" customWidth="1"/>
    <col min="9224" max="9472" width="9.26953125"/>
    <col min="9473" max="9474" width="8" customWidth="1"/>
    <col min="9475" max="9477" width="13" customWidth="1"/>
    <col min="9478" max="9479" width="11" customWidth="1"/>
    <col min="9480" max="9728" width="9.26953125"/>
    <col min="9729" max="9730" width="8" customWidth="1"/>
    <col min="9731" max="9733" width="13" customWidth="1"/>
    <col min="9734" max="9735" width="11" customWidth="1"/>
    <col min="9736" max="9984" width="9.26953125"/>
    <col min="9985" max="9986" width="8" customWidth="1"/>
    <col min="9987" max="9989" width="13" customWidth="1"/>
    <col min="9990" max="9991" width="11" customWidth="1"/>
    <col min="9992" max="10240" width="9.26953125"/>
    <col min="10241" max="10242" width="8" customWidth="1"/>
    <col min="10243" max="10245" width="13" customWidth="1"/>
    <col min="10246" max="10247" width="11" customWidth="1"/>
    <col min="10248" max="10496" width="9.26953125"/>
    <col min="10497" max="10498" width="8" customWidth="1"/>
    <col min="10499" max="10501" width="13" customWidth="1"/>
    <col min="10502" max="10503" width="11" customWidth="1"/>
    <col min="10504" max="10752" width="9.26953125"/>
    <col min="10753" max="10754" width="8" customWidth="1"/>
    <col min="10755" max="10757" width="13" customWidth="1"/>
    <col min="10758" max="10759" width="11" customWidth="1"/>
    <col min="10760" max="11008" width="9.26953125"/>
    <col min="11009" max="11010" width="8" customWidth="1"/>
    <col min="11011" max="11013" width="13" customWidth="1"/>
    <col min="11014" max="11015" width="11" customWidth="1"/>
    <col min="11016" max="11264" width="9.26953125"/>
    <col min="11265" max="11266" width="8" customWidth="1"/>
    <col min="11267" max="11269" width="13" customWidth="1"/>
    <col min="11270" max="11271" width="11" customWidth="1"/>
    <col min="11272" max="11520" width="9.26953125"/>
    <col min="11521" max="11522" width="8" customWidth="1"/>
    <col min="11523" max="11525" width="13" customWidth="1"/>
    <col min="11526" max="11527" width="11" customWidth="1"/>
    <col min="11528" max="11776" width="9.26953125"/>
    <col min="11777" max="11778" width="8" customWidth="1"/>
    <col min="11779" max="11781" width="13" customWidth="1"/>
    <col min="11782" max="11783" width="11" customWidth="1"/>
    <col min="11784" max="12032" width="9.26953125"/>
    <col min="12033" max="12034" width="8" customWidth="1"/>
    <col min="12035" max="12037" width="13" customWidth="1"/>
    <col min="12038" max="12039" width="11" customWidth="1"/>
    <col min="12040" max="12288" width="9.26953125"/>
    <col min="12289" max="12290" width="8" customWidth="1"/>
    <col min="12291" max="12293" width="13" customWidth="1"/>
    <col min="12294" max="12295" width="11" customWidth="1"/>
    <col min="12296" max="12544" width="9.26953125"/>
    <col min="12545" max="12546" width="8" customWidth="1"/>
    <col min="12547" max="12549" width="13" customWidth="1"/>
    <col min="12550" max="12551" width="11" customWidth="1"/>
    <col min="12552" max="12800" width="9.26953125"/>
    <col min="12801" max="12802" width="8" customWidth="1"/>
    <col min="12803" max="12805" width="13" customWidth="1"/>
    <col min="12806" max="12807" width="11" customWidth="1"/>
    <col min="12808" max="13056" width="9.26953125"/>
    <col min="13057" max="13058" width="8" customWidth="1"/>
    <col min="13059" max="13061" width="13" customWidth="1"/>
    <col min="13062" max="13063" width="11" customWidth="1"/>
    <col min="13064" max="13312" width="9.26953125"/>
    <col min="13313" max="13314" width="8" customWidth="1"/>
    <col min="13315" max="13317" width="13" customWidth="1"/>
    <col min="13318" max="13319" width="11" customWidth="1"/>
    <col min="13320" max="13568" width="9.26953125"/>
    <col min="13569" max="13570" width="8" customWidth="1"/>
    <col min="13571" max="13573" width="13" customWidth="1"/>
    <col min="13574" max="13575" width="11" customWidth="1"/>
    <col min="13576" max="13824" width="9.26953125"/>
    <col min="13825" max="13826" width="8" customWidth="1"/>
    <col min="13827" max="13829" width="13" customWidth="1"/>
    <col min="13830" max="13831" width="11" customWidth="1"/>
    <col min="13832" max="14080" width="9.26953125"/>
    <col min="14081" max="14082" width="8" customWidth="1"/>
    <col min="14083" max="14085" width="13" customWidth="1"/>
    <col min="14086" max="14087" width="11" customWidth="1"/>
    <col min="14088" max="14336" width="9.26953125"/>
    <col min="14337" max="14338" width="8" customWidth="1"/>
    <col min="14339" max="14341" width="13" customWidth="1"/>
    <col min="14342" max="14343" width="11" customWidth="1"/>
    <col min="14344" max="14592" width="9.26953125"/>
    <col min="14593" max="14594" width="8" customWidth="1"/>
    <col min="14595" max="14597" width="13" customWidth="1"/>
    <col min="14598" max="14599" width="11" customWidth="1"/>
    <col min="14600" max="14848" width="9.26953125"/>
    <col min="14849" max="14850" width="8" customWidth="1"/>
    <col min="14851" max="14853" width="13" customWidth="1"/>
    <col min="14854" max="14855" width="11" customWidth="1"/>
    <col min="14856" max="15104" width="9.26953125"/>
    <col min="15105" max="15106" width="8" customWidth="1"/>
    <col min="15107" max="15109" width="13" customWidth="1"/>
    <col min="15110" max="15111" width="11" customWidth="1"/>
    <col min="15112" max="15360" width="9.26953125"/>
    <col min="15361" max="15362" width="8" customWidth="1"/>
    <col min="15363" max="15365" width="13" customWidth="1"/>
    <col min="15366" max="15367" width="11" customWidth="1"/>
    <col min="15368" max="15616" width="9.26953125"/>
    <col min="15617" max="15618" width="8" customWidth="1"/>
    <col min="15619" max="15621" width="13" customWidth="1"/>
    <col min="15622" max="15623" width="11" customWidth="1"/>
    <col min="15624" max="15872" width="9.26953125"/>
    <col min="15873" max="15874" width="8" customWidth="1"/>
    <col min="15875" max="15877" width="13" customWidth="1"/>
    <col min="15878" max="15879" width="11" customWidth="1"/>
    <col min="15880" max="16128" width="9.26953125"/>
    <col min="16129" max="16130" width="8" customWidth="1"/>
    <col min="16131" max="16133" width="13" customWidth="1"/>
    <col min="16134" max="16135" width="11" customWidth="1"/>
    <col min="16136" max="16384" width="9.26953125"/>
  </cols>
  <sheetData>
    <row r="1" spans="1:11" x14ac:dyDescent="0.35">
      <c r="A1" t="s">
        <v>456</v>
      </c>
      <c r="B1" t="s">
        <v>457</v>
      </c>
      <c r="C1" t="s">
        <v>458</v>
      </c>
      <c r="D1" t="s">
        <v>459</v>
      </c>
      <c r="E1" t="s">
        <v>460</v>
      </c>
      <c r="F1" s="1" t="s">
        <v>461</v>
      </c>
      <c r="G1" s="1" t="s">
        <v>462</v>
      </c>
      <c r="I1" s="51" t="s">
        <v>463</v>
      </c>
      <c r="J1" s="193" t="s">
        <v>464</v>
      </c>
      <c r="K1" t="s">
        <v>465</v>
      </c>
    </row>
    <row r="2" spans="1:11" s="93" customFormat="1" x14ac:dyDescent="0.35">
      <c r="A2" s="93" t="s">
        <v>466</v>
      </c>
      <c r="B2" s="93" t="s">
        <v>467</v>
      </c>
      <c r="C2" s="94">
        <v>456147.11099999875</v>
      </c>
      <c r="D2" s="94">
        <v>473684.45699999877</v>
      </c>
      <c r="E2" s="94">
        <v>482958.47999999963</v>
      </c>
      <c r="F2" s="95">
        <v>-3.7023266735560334E-2</v>
      </c>
      <c r="G2" s="95">
        <v>-1.1358068106343322E-2</v>
      </c>
      <c r="I2" s="194">
        <v>547630</v>
      </c>
      <c r="J2" s="95">
        <f>+((((I2-E2)/E2)+1)^(1/7))-1</f>
        <v>1.8114860483119388E-2</v>
      </c>
      <c r="K2" s="95">
        <f>+(((I2-C2)/C2)+1)^(1/2)-1</f>
        <v>9.5698712685300169E-2</v>
      </c>
    </row>
    <row r="3" spans="1:11" x14ac:dyDescent="0.35">
      <c r="A3" t="s">
        <v>466</v>
      </c>
      <c r="B3" t="s">
        <v>468</v>
      </c>
      <c r="C3" s="18">
        <v>1693049.5530000019</v>
      </c>
      <c r="D3" s="18">
        <v>1629389.8120000015</v>
      </c>
      <c r="E3" s="18">
        <v>1668000.3900000015</v>
      </c>
      <c r="F3" s="1">
        <v>3.9069681503569154E-2</v>
      </c>
      <c r="G3" s="1">
        <v>2.9856149605171911E-3</v>
      </c>
      <c r="I3" s="51">
        <v>1150143</v>
      </c>
      <c r="J3" s="95">
        <f t="shared" ref="J3:J49" si="0">+((((I3-E3)/E3)+1)^(1/7))-1</f>
        <v>-5.1720138647879277E-2</v>
      </c>
      <c r="K3" s="95">
        <f t="shared" ref="K3:K49" si="1">+(((I3-C3)/C3)+1)^(1/2)-1</f>
        <v>-0.1757839153498878</v>
      </c>
    </row>
    <row r="4" spans="1:11" s="93" customFormat="1" x14ac:dyDescent="0.35">
      <c r="A4" s="93" t="s">
        <v>469</v>
      </c>
      <c r="B4" s="93" t="s">
        <v>467</v>
      </c>
      <c r="C4" s="94">
        <v>1389382.0209999999</v>
      </c>
      <c r="D4" s="94">
        <v>1467133.2209999999</v>
      </c>
      <c r="E4" s="94">
        <v>1709016.82</v>
      </c>
      <c r="F4" s="95">
        <v>-5.2995323728682653E-2</v>
      </c>
      <c r="G4" s="95">
        <v>-4.0566082202781351E-2</v>
      </c>
      <c r="I4" s="194">
        <v>1333735</v>
      </c>
      <c r="J4" s="95">
        <f t="shared" si="0"/>
        <v>-3.479935916130894E-2</v>
      </c>
      <c r="K4" s="95">
        <f t="shared" si="1"/>
        <v>-2.023045290337655E-2</v>
      </c>
    </row>
    <row r="5" spans="1:11" x14ac:dyDescent="0.35">
      <c r="A5" t="s">
        <v>469</v>
      </c>
      <c r="B5" t="s">
        <v>468</v>
      </c>
      <c r="C5" s="18">
        <v>2026356.9390000021</v>
      </c>
      <c r="D5" s="18">
        <v>2073252.6460000011</v>
      </c>
      <c r="E5" s="18">
        <v>1402876.4149999993</v>
      </c>
      <c r="F5" s="1">
        <v>-2.2619388471769919E-2</v>
      </c>
      <c r="G5" s="1">
        <v>7.6314786750583119E-2</v>
      </c>
      <c r="I5" s="51">
        <v>1059006</v>
      </c>
      <c r="J5" s="95">
        <f t="shared" si="0"/>
        <v>-3.9374427171758986E-2</v>
      </c>
      <c r="K5" s="95">
        <f t="shared" si="1"/>
        <v>-0.27707834130317621</v>
      </c>
    </row>
    <row r="6" spans="1:11" s="93" customFormat="1" x14ac:dyDescent="0.35">
      <c r="A6" s="93" t="s">
        <v>470</v>
      </c>
      <c r="B6" s="93" t="s">
        <v>467</v>
      </c>
      <c r="C6" s="94">
        <v>9817178.6210000012</v>
      </c>
      <c r="D6" s="94">
        <v>9468584.9120000023</v>
      </c>
      <c r="E6" s="94">
        <v>10269773.26</v>
      </c>
      <c r="F6" s="95">
        <v>3.6815819073260814E-2</v>
      </c>
      <c r="G6" s="95">
        <v>-8.9737284250263061E-3</v>
      </c>
      <c r="I6" s="194">
        <v>9876107</v>
      </c>
      <c r="J6" s="95">
        <f t="shared" si="0"/>
        <v>-5.5682310449083339E-3</v>
      </c>
      <c r="K6" s="95">
        <f t="shared" si="1"/>
        <v>2.9967985273537945E-3</v>
      </c>
    </row>
    <row r="7" spans="1:11" x14ac:dyDescent="0.35">
      <c r="A7" t="s">
        <v>470</v>
      </c>
      <c r="B7" t="s">
        <v>468</v>
      </c>
      <c r="C7" s="18">
        <v>30425831.969000012</v>
      </c>
      <c r="D7" s="18">
        <v>28942955.36700001</v>
      </c>
      <c r="E7" s="18">
        <v>21475424.094999988</v>
      </c>
      <c r="F7" s="1">
        <v>5.123445699296969E-2</v>
      </c>
      <c r="G7" s="1">
        <v>7.2161338316517609E-2</v>
      </c>
      <c r="I7" s="51">
        <v>23766932</v>
      </c>
      <c r="J7" s="95">
        <f t="shared" si="0"/>
        <v>1.4589109594931093E-2</v>
      </c>
      <c r="K7" s="95">
        <f t="shared" si="1"/>
        <v>-0.11617693607956636</v>
      </c>
    </row>
    <row r="8" spans="1:11" x14ac:dyDescent="0.35">
      <c r="A8" t="s">
        <v>471</v>
      </c>
      <c r="B8" t="s">
        <v>468</v>
      </c>
      <c r="C8" s="18">
        <v>3734728.8640000015</v>
      </c>
      <c r="D8" s="18">
        <v>3398379.8940000013</v>
      </c>
      <c r="E8" s="18">
        <v>3176093.06</v>
      </c>
      <c r="F8" s="1">
        <v>9.8973328612801614E-2</v>
      </c>
      <c r="G8" s="1">
        <v>3.2935424641719058E-2</v>
      </c>
      <c r="I8" s="51">
        <v>3092760</v>
      </c>
      <c r="J8" s="95">
        <f t="shared" si="0"/>
        <v>-3.791073928110511E-3</v>
      </c>
      <c r="K8" s="95">
        <f t="shared" si="1"/>
        <v>-8.9995435235985632E-2</v>
      </c>
    </row>
    <row r="9" spans="1:11" s="93" customFormat="1" x14ac:dyDescent="0.35">
      <c r="A9" s="93" t="s">
        <v>472</v>
      </c>
      <c r="B9" s="93" t="s">
        <v>467</v>
      </c>
      <c r="C9" s="94">
        <v>2968433.7170000002</v>
      </c>
      <c r="D9" s="94">
        <v>2756459.6719999984</v>
      </c>
      <c r="E9" s="94">
        <v>2899115.14</v>
      </c>
      <c r="F9" s="95">
        <v>7.6900833033483273E-2</v>
      </c>
      <c r="G9" s="95">
        <v>4.7369599695392672E-3</v>
      </c>
      <c r="I9" s="194">
        <v>2989229</v>
      </c>
      <c r="J9" s="95">
        <f t="shared" si="0"/>
        <v>4.3824217499051077E-3</v>
      </c>
      <c r="K9" s="95">
        <f t="shared" si="1"/>
        <v>3.4966234374633753E-3</v>
      </c>
    </row>
    <row r="10" spans="1:11" x14ac:dyDescent="0.35">
      <c r="A10" t="s">
        <v>472</v>
      </c>
      <c r="B10" t="s">
        <v>468</v>
      </c>
      <c r="C10" s="18">
        <v>6808063.1100000022</v>
      </c>
      <c r="D10" s="18">
        <v>6385900.7149999877</v>
      </c>
      <c r="E10" s="18">
        <v>6310749.7899999963</v>
      </c>
      <c r="F10" s="1">
        <v>6.610851214902036E-2</v>
      </c>
      <c r="G10" s="1">
        <v>1.5286291392540896E-2</v>
      </c>
      <c r="I10" s="51">
        <v>4959064</v>
      </c>
      <c r="J10" s="95">
        <f t="shared" si="0"/>
        <v>-3.3847824872041854E-2</v>
      </c>
      <c r="K10" s="95">
        <f t="shared" si="1"/>
        <v>-0.14653037315942186</v>
      </c>
    </row>
    <row r="11" spans="1:11" s="93" customFormat="1" x14ac:dyDescent="0.35">
      <c r="A11" s="93" t="s">
        <v>473</v>
      </c>
      <c r="B11" s="93" t="s">
        <v>467</v>
      </c>
      <c r="C11" s="94">
        <v>1062274.986</v>
      </c>
      <c r="D11" s="94">
        <v>930592.15799999982</v>
      </c>
      <c r="E11" s="94">
        <v>678840.2</v>
      </c>
      <c r="F11" s="95">
        <v>0.14150433878898028</v>
      </c>
      <c r="G11" s="95">
        <v>9.3689091475211761E-2</v>
      </c>
      <c r="I11" s="194">
        <v>1098789</v>
      </c>
      <c r="J11" s="95">
        <f t="shared" si="0"/>
        <v>7.1218605638956323E-2</v>
      </c>
      <c r="K11" s="95">
        <f t="shared" si="1"/>
        <v>1.7041498834527768E-2</v>
      </c>
    </row>
    <row r="12" spans="1:11" x14ac:dyDescent="0.35">
      <c r="A12" t="s">
        <v>473</v>
      </c>
      <c r="B12" t="s">
        <v>468</v>
      </c>
      <c r="C12" s="18">
        <v>1710301.7750000018</v>
      </c>
      <c r="D12" s="18">
        <v>1727928.8269999996</v>
      </c>
      <c r="E12" s="18">
        <v>1492503.3800000011</v>
      </c>
      <c r="F12" s="1">
        <v>-1.0201260448094773E-2</v>
      </c>
      <c r="G12" s="1">
        <v>2.7617483600713255E-2</v>
      </c>
      <c r="I12" s="51">
        <v>1334086</v>
      </c>
      <c r="J12" s="95">
        <f t="shared" si="0"/>
        <v>-1.5901980881185662E-2</v>
      </c>
      <c r="K12" s="95">
        <f t="shared" si="1"/>
        <v>-0.11680715894836013</v>
      </c>
    </row>
    <row r="13" spans="1:11" s="93" customFormat="1" x14ac:dyDescent="0.35">
      <c r="A13" s="93" t="s">
        <v>474</v>
      </c>
      <c r="B13" s="93" t="s">
        <v>467</v>
      </c>
      <c r="C13" s="94">
        <v>1200737.5660000001</v>
      </c>
      <c r="D13" s="94">
        <v>1213890.567</v>
      </c>
      <c r="E13" s="94">
        <v>950408.58</v>
      </c>
      <c r="F13" s="95">
        <v>-1.0835409185612321E-2</v>
      </c>
      <c r="G13" s="95">
        <v>4.7870345155065275E-2</v>
      </c>
      <c r="I13" s="194">
        <v>1247811</v>
      </c>
      <c r="J13" s="95">
        <f t="shared" si="0"/>
        <v>3.9659697374357705E-2</v>
      </c>
      <c r="K13" s="95">
        <f t="shared" si="1"/>
        <v>1.9413441901548145E-2</v>
      </c>
    </row>
    <row r="14" spans="1:11" x14ac:dyDescent="0.35">
      <c r="A14" t="s">
        <v>474</v>
      </c>
      <c r="B14" t="s">
        <v>468</v>
      </c>
      <c r="C14" s="18">
        <v>6015858.6830000002</v>
      </c>
      <c r="D14" s="18">
        <v>5686535.7760000024</v>
      </c>
      <c r="E14" s="18">
        <v>4309385.1599999983</v>
      </c>
      <c r="F14" s="1">
        <v>5.7912746876561227E-2</v>
      </c>
      <c r="G14" s="1">
        <v>6.8996941876961371E-2</v>
      </c>
      <c r="I14" s="51">
        <v>4363506</v>
      </c>
      <c r="J14" s="95">
        <f t="shared" si="0"/>
        <v>1.7845365386806034E-3</v>
      </c>
      <c r="K14" s="95">
        <f t="shared" si="1"/>
        <v>-0.14833465490209052</v>
      </c>
    </row>
    <row r="15" spans="1:11" s="93" customFormat="1" x14ac:dyDescent="0.35">
      <c r="A15" s="93" t="s">
        <v>475</v>
      </c>
      <c r="B15" s="93" t="s">
        <v>467</v>
      </c>
      <c r="C15" s="94">
        <v>52005264.423999973</v>
      </c>
      <c r="D15" s="94">
        <v>49622052.828999937</v>
      </c>
      <c r="E15" s="94">
        <v>48433844.174999997</v>
      </c>
      <c r="F15" s="95">
        <v>4.8027267296109288E-2</v>
      </c>
      <c r="G15" s="95">
        <v>1.4330941939456165E-2</v>
      </c>
      <c r="I15" s="194">
        <v>50342970</v>
      </c>
      <c r="J15" s="95">
        <f t="shared" si="0"/>
        <v>5.5381588734035869E-3</v>
      </c>
      <c r="K15" s="95">
        <f t="shared" si="1"/>
        <v>-1.611177690969301E-2</v>
      </c>
    </row>
    <row r="16" spans="1:11" x14ac:dyDescent="0.35">
      <c r="A16" t="s">
        <v>475</v>
      </c>
      <c r="B16" t="s">
        <v>468</v>
      </c>
      <c r="C16" s="18">
        <v>99217959.260000095</v>
      </c>
      <c r="D16" s="18">
        <v>95939036.724000216</v>
      </c>
      <c r="E16" s="18">
        <v>56474915.762999952</v>
      </c>
      <c r="F16" s="1">
        <v>3.4177146737805586E-2</v>
      </c>
      <c r="G16" s="1">
        <v>0.11930112344069421</v>
      </c>
      <c r="I16" s="51">
        <v>67949744</v>
      </c>
      <c r="J16" s="95">
        <f t="shared" si="0"/>
        <v>2.6776767040757488E-2</v>
      </c>
      <c r="K16" s="95">
        <f t="shared" si="1"/>
        <v>-0.17244137875732324</v>
      </c>
    </row>
    <row r="17" spans="1:11" s="93" customFormat="1" x14ac:dyDescent="0.35">
      <c r="A17" s="93" t="s">
        <v>476</v>
      </c>
      <c r="B17" s="93" t="s">
        <v>467</v>
      </c>
      <c r="C17" s="94">
        <v>4596639.8630000018</v>
      </c>
      <c r="D17" s="94">
        <v>4500328.1649999991</v>
      </c>
      <c r="E17" s="94">
        <v>4938952.3600000022</v>
      </c>
      <c r="F17" s="95">
        <v>2.1401038872906897E-2</v>
      </c>
      <c r="G17" s="95">
        <v>-1.4262840828583534E-2</v>
      </c>
      <c r="I17" s="194">
        <v>4683190</v>
      </c>
      <c r="J17" s="95">
        <f t="shared" si="0"/>
        <v>-7.5674691650607917E-3</v>
      </c>
      <c r="K17" s="95">
        <f t="shared" si="1"/>
        <v>9.370596506560025E-3</v>
      </c>
    </row>
    <row r="18" spans="1:11" x14ac:dyDescent="0.35">
      <c r="A18" t="s">
        <v>476</v>
      </c>
      <c r="B18" t="s">
        <v>468</v>
      </c>
      <c r="C18" s="18">
        <v>8893458.373999998</v>
      </c>
      <c r="D18" s="18">
        <v>8771256.9260000028</v>
      </c>
      <c r="E18" s="18">
        <v>6727027.5000000102</v>
      </c>
      <c r="F18" s="1">
        <v>1.3932033804386901E-2</v>
      </c>
      <c r="G18" s="1">
        <v>5.7424807146799539E-2</v>
      </c>
      <c r="I18" s="51">
        <v>7574619</v>
      </c>
      <c r="J18" s="95">
        <f t="shared" si="0"/>
        <v>1.7097326703819249E-2</v>
      </c>
      <c r="K18" s="95">
        <f t="shared" si="1"/>
        <v>-7.7120374547695492E-2</v>
      </c>
    </row>
    <row r="19" spans="1:11" s="93" customFormat="1" x14ac:dyDescent="0.35">
      <c r="A19" s="93" t="s">
        <v>477</v>
      </c>
      <c r="B19" s="93" t="s">
        <v>467</v>
      </c>
      <c r="C19" s="94">
        <v>1520967.6429999997</v>
      </c>
      <c r="D19" s="94">
        <v>1367929.0139999993</v>
      </c>
      <c r="E19" s="94">
        <v>1620227.7</v>
      </c>
      <c r="F19" s="95">
        <v>0.11187614812883884</v>
      </c>
      <c r="G19" s="95">
        <v>-1.2564391658057339E-2</v>
      </c>
      <c r="I19" s="194">
        <v>1530956</v>
      </c>
      <c r="J19" s="95">
        <f t="shared" si="0"/>
        <v>-8.0636441348814758E-3</v>
      </c>
      <c r="K19" s="95">
        <f t="shared" si="1"/>
        <v>3.2781801834751434E-3</v>
      </c>
    </row>
    <row r="20" spans="1:11" x14ac:dyDescent="0.35">
      <c r="A20" t="s">
        <v>477</v>
      </c>
      <c r="B20" t="s">
        <v>468</v>
      </c>
      <c r="C20" s="18">
        <v>966784.38499999919</v>
      </c>
      <c r="D20" s="18">
        <v>928961.99899999984</v>
      </c>
      <c r="E20" s="18">
        <v>899446.38999999862</v>
      </c>
      <c r="F20" s="1">
        <v>4.0714675132797806E-2</v>
      </c>
      <c r="G20" s="1">
        <v>1.4543958065148965E-2</v>
      </c>
      <c r="I20" s="51">
        <v>653777</v>
      </c>
      <c r="J20" s="95">
        <f t="shared" si="0"/>
        <v>-4.4550439514541074E-2</v>
      </c>
      <c r="K20" s="95">
        <f t="shared" si="1"/>
        <v>-0.17766267033038674</v>
      </c>
    </row>
    <row r="21" spans="1:11" s="93" customFormat="1" x14ac:dyDescent="0.35">
      <c r="A21" s="93" t="s">
        <v>478</v>
      </c>
      <c r="B21" s="93" t="s">
        <v>467</v>
      </c>
      <c r="C21" s="94">
        <v>3288002.7440000004</v>
      </c>
      <c r="D21" s="94">
        <v>3101352.1380000012</v>
      </c>
      <c r="E21" s="94">
        <v>4240441.8000000007</v>
      </c>
      <c r="F21" s="95">
        <v>6.0183622399089032E-2</v>
      </c>
      <c r="G21" s="95">
        <v>-4.9604846707657413E-2</v>
      </c>
      <c r="I21" s="194">
        <v>3507958</v>
      </c>
      <c r="J21" s="95">
        <f t="shared" si="0"/>
        <v>-2.6726824233958446E-2</v>
      </c>
      <c r="K21" s="95">
        <f t="shared" si="1"/>
        <v>3.2906729365379306E-2</v>
      </c>
    </row>
    <row r="22" spans="1:11" x14ac:dyDescent="0.35">
      <c r="A22" t="s">
        <v>478</v>
      </c>
      <c r="B22" t="s">
        <v>468</v>
      </c>
      <c r="C22" s="18">
        <v>6997951.6990000056</v>
      </c>
      <c r="D22" s="18">
        <v>6593218.2039999953</v>
      </c>
      <c r="E22" s="18">
        <v>5576461.8900000025</v>
      </c>
      <c r="F22" s="1">
        <v>6.1386334029482903E-2</v>
      </c>
      <c r="G22" s="1">
        <v>4.645953720963325E-2</v>
      </c>
      <c r="I22" s="51">
        <v>5134614</v>
      </c>
      <c r="J22" s="95">
        <f t="shared" si="0"/>
        <v>-1.1723570679221584E-2</v>
      </c>
      <c r="K22" s="95">
        <f t="shared" si="1"/>
        <v>-0.14341901376024291</v>
      </c>
    </row>
    <row r="23" spans="1:11" s="93" customFormat="1" x14ac:dyDescent="0.35">
      <c r="A23" s="93" t="s">
        <v>479</v>
      </c>
      <c r="B23" s="93" t="s">
        <v>467</v>
      </c>
      <c r="C23" s="94">
        <v>46663102.316000022</v>
      </c>
      <c r="D23" s="94">
        <v>45261947.507999986</v>
      </c>
      <c r="E23" s="94">
        <v>48070238.370000005</v>
      </c>
      <c r="F23" s="95">
        <v>3.0956573571041757E-2</v>
      </c>
      <c r="G23" s="95">
        <v>-5.9242795625581435E-3</v>
      </c>
      <c r="I23" s="194">
        <v>44581961</v>
      </c>
      <c r="J23" s="95">
        <f t="shared" si="0"/>
        <v>-1.0704286317692269E-2</v>
      </c>
      <c r="K23" s="95">
        <f t="shared" si="1"/>
        <v>-2.2553987060981773E-2</v>
      </c>
    </row>
    <row r="24" spans="1:11" x14ac:dyDescent="0.35">
      <c r="A24" t="s">
        <v>479</v>
      </c>
      <c r="B24" t="s">
        <v>468</v>
      </c>
      <c r="C24" s="18">
        <v>85193310.063999981</v>
      </c>
      <c r="D24" s="18">
        <v>78031250.546999902</v>
      </c>
      <c r="E24" s="18">
        <v>38609154.849999972</v>
      </c>
      <c r="F24" s="1">
        <v>9.1784502578056371E-2</v>
      </c>
      <c r="G24" s="1">
        <v>0.1715020137911476</v>
      </c>
      <c r="I24" s="51">
        <v>51374106</v>
      </c>
      <c r="J24" s="95">
        <f t="shared" si="0"/>
        <v>4.165043002738722E-2</v>
      </c>
      <c r="K24" s="95">
        <f t="shared" si="1"/>
        <v>-0.22345005639283588</v>
      </c>
    </row>
    <row r="25" spans="1:11" s="93" customFormat="1" x14ac:dyDescent="0.35">
      <c r="A25" s="93" t="s">
        <v>480</v>
      </c>
      <c r="B25" s="93" t="s">
        <v>467</v>
      </c>
      <c r="C25" s="94">
        <v>2581337.3749999995</v>
      </c>
      <c r="D25" s="94">
        <v>2457396.2950000004</v>
      </c>
      <c r="E25" s="94">
        <v>2505572.8000000003</v>
      </c>
      <c r="F25" s="95">
        <v>5.0435935079815586E-2</v>
      </c>
      <c r="G25" s="95">
        <v>5.9758356819794578E-3</v>
      </c>
      <c r="I25" s="194">
        <v>4234819</v>
      </c>
      <c r="J25" s="95">
        <f t="shared" si="0"/>
        <v>7.7856929578172362E-2</v>
      </c>
      <c r="K25" s="95">
        <f t="shared" si="1"/>
        <v>0.28084047115132749</v>
      </c>
    </row>
    <row r="26" spans="1:11" x14ac:dyDescent="0.35">
      <c r="A26" t="s">
        <v>480</v>
      </c>
      <c r="B26" t="s">
        <v>468</v>
      </c>
      <c r="C26" s="18">
        <v>4689521.8679999951</v>
      </c>
      <c r="D26" s="18">
        <v>4567181.9519999968</v>
      </c>
      <c r="E26" s="18">
        <v>4254307.9799999995</v>
      </c>
      <c r="F26" s="1">
        <v>2.6786740113654783E-2</v>
      </c>
      <c r="G26" s="1">
        <v>1.9670671055553424E-2</v>
      </c>
      <c r="I26" s="51">
        <v>1916277</v>
      </c>
      <c r="J26" s="95">
        <f t="shared" si="0"/>
        <v>-0.10768441141398122</v>
      </c>
      <c r="K26" s="95">
        <f t="shared" si="1"/>
        <v>-0.36075864880024044</v>
      </c>
    </row>
    <row r="27" spans="1:11" s="93" customFormat="1" x14ac:dyDescent="0.35">
      <c r="A27" s="93" t="s">
        <v>481</v>
      </c>
      <c r="B27" s="93" t="s">
        <v>467</v>
      </c>
      <c r="C27" s="94">
        <v>781390.52</v>
      </c>
      <c r="D27" s="94">
        <v>785939.92100000009</v>
      </c>
      <c r="E27" s="94">
        <v>767934.46</v>
      </c>
      <c r="F27" s="95">
        <v>-5.7884844355680087E-3</v>
      </c>
      <c r="G27" s="95">
        <v>3.4801736933249838E-3</v>
      </c>
      <c r="I27" s="194">
        <v>775103</v>
      </c>
      <c r="J27" s="95">
        <f t="shared" si="0"/>
        <v>1.3282431608780954E-3</v>
      </c>
      <c r="K27" s="95">
        <f t="shared" si="1"/>
        <v>-4.0314153033573774E-3</v>
      </c>
    </row>
    <row r="28" spans="1:11" x14ac:dyDescent="0.35">
      <c r="A28" t="s">
        <v>481</v>
      </c>
      <c r="B28" t="s">
        <v>468</v>
      </c>
      <c r="C28" s="18">
        <v>2581605.3600000027</v>
      </c>
      <c r="D28" s="18">
        <v>2708255.5450000046</v>
      </c>
      <c r="E28" s="18">
        <v>1244804.7999999986</v>
      </c>
      <c r="F28" s="1">
        <v>-4.6764488393210901E-2</v>
      </c>
      <c r="G28" s="1">
        <v>0.15706490175722276</v>
      </c>
      <c r="I28" s="51">
        <v>1681685</v>
      </c>
      <c r="J28" s="95">
        <f t="shared" si="0"/>
        <v>4.3910683694215136E-2</v>
      </c>
      <c r="K28" s="95">
        <f t="shared" si="1"/>
        <v>-0.19289990545652003</v>
      </c>
    </row>
    <row r="29" spans="1:11" s="93" customFormat="1" x14ac:dyDescent="0.35">
      <c r="A29" s="93" t="s">
        <v>482</v>
      </c>
      <c r="B29" s="93" t="s">
        <v>467</v>
      </c>
      <c r="C29" s="94">
        <v>388981.36599999951</v>
      </c>
      <c r="D29" s="94">
        <v>408576.26699999947</v>
      </c>
      <c r="E29" s="94">
        <v>431045.49</v>
      </c>
      <c r="F29" s="95">
        <v>-4.7958979957100634E-2</v>
      </c>
      <c r="G29" s="95">
        <v>-2.0327001426200697E-2</v>
      </c>
      <c r="I29" s="194">
        <v>470806</v>
      </c>
      <c r="J29" s="95">
        <f t="shared" si="0"/>
        <v>1.2684414710246283E-2</v>
      </c>
      <c r="K29" s="95">
        <f t="shared" si="1"/>
        <v>0.10016188780353708</v>
      </c>
    </row>
    <row r="30" spans="1:11" x14ac:dyDescent="0.35">
      <c r="A30" t="s">
        <v>482</v>
      </c>
      <c r="B30" t="s">
        <v>468</v>
      </c>
      <c r="C30" s="18">
        <v>2310328.8840000005</v>
      </c>
      <c r="D30" s="18">
        <v>2202114.8469999977</v>
      </c>
      <c r="E30" s="18">
        <v>1887814.9499999997</v>
      </c>
      <c r="F30" s="1">
        <v>4.914095972216237E-2</v>
      </c>
      <c r="G30" s="1">
        <v>4.1220900964051177E-2</v>
      </c>
      <c r="I30" s="51">
        <v>1552730</v>
      </c>
      <c r="J30" s="95">
        <f t="shared" si="0"/>
        <v>-2.7529029069746525E-2</v>
      </c>
      <c r="K30" s="95">
        <f t="shared" si="1"/>
        <v>-0.18019404601727373</v>
      </c>
    </row>
    <row r="31" spans="1:11" s="93" customFormat="1" x14ac:dyDescent="0.35">
      <c r="A31" s="93" t="s">
        <v>483</v>
      </c>
      <c r="B31" s="93" t="s">
        <v>467</v>
      </c>
      <c r="C31" s="94">
        <v>484244.93199999997</v>
      </c>
      <c r="D31" s="94">
        <v>469724.65099999995</v>
      </c>
      <c r="E31" s="94">
        <v>384234.66</v>
      </c>
      <c r="F31" s="95">
        <v>3.0912324846242845E-2</v>
      </c>
      <c r="G31" s="95">
        <v>4.7354515034955469E-2</v>
      </c>
      <c r="I31" s="194">
        <v>436650</v>
      </c>
      <c r="J31" s="95">
        <f t="shared" si="0"/>
        <v>1.8436244240502608E-2</v>
      </c>
      <c r="K31" s="95">
        <f t="shared" si="1"/>
        <v>-5.0414246898932591E-2</v>
      </c>
    </row>
    <row r="32" spans="1:11" x14ac:dyDescent="0.35">
      <c r="A32" t="s">
        <v>483</v>
      </c>
      <c r="B32" t="s">
        <v>468</v>
      </c>
      <c r="C32" s="18">
        <v>3640211.5840000026</v>
      </c>
      <c r="D32" s="18">
        <v>3641086.5189999975</v>
      </c>
      <c r="E32" s="18">
        <v>2868137.3400000026</v>
      </c>
      <c r="F32" s="1">
        <v>-2.4029503155975629E-4</v>
      </c>
      <c r="G32" s="1">
        <v>4.8830569079673092E-2</v>
      </c>
      <c r="I32" s="51">
        <v>2901689</v>
      </c>
      <c r="J32" s="95">
        <f t="shared" si="0"/>
        <v>1.6628342107443128E-3</v>
      </c>
      <c r="K32" s="95">
        <f t="shared" si="1"/>
        <v>-0.10718368458856875</v>
      </c>
    </row>
    <row r="33" spans="1:11" s="93" customFormat="1" x14ac:dyDescent="0.35">
      <c r="A33" s="93" t="s">
        <v>484</v>
      </c>
      <c r="B33" s="93" t="s">
        <v>467</v>
      </c>
      <c r="C33" s="94">
        <v>1394509.6640000006</v>
      </c>
      <c r="D33" s="94">
        <v>1553016.2450000001</v>
      </c>
      <c r="E33" s="94">
        <v>1245323.9800000011</v>
      </c>
      <c r="F33" s="95">
        <v>-0.10206369798791093</v>
      </c>
      <c r="G33" s="95">
        <v>2.2887415292908608E-2</v>
      </c>
      <c r="I33" s="194">
        <v>1604839</v>
      </c>
      <c r="J33" s="95">
        <f t="shared" si="0"/>
        <v>3.6896929445263682E-2</v>
      </c>
      <c r="K33" s="95">
        <f t="shared" si="1"/>
        <v>7.2765926218951504E-2</v>
      </c>
    </row>
    <row r="34" spans="1:11" x14ac:dyDescent="0.35">
      <c r="A34" t="s">
        <v>484</v>
      </c>
      <c r="B34" t="s">
        <v>468</v>
      </c>
      <c r="C34" s="18">
        <v>4665948.8040000033</v>
      </c>
      <c r="D34" s="18">
        <v>4783354.2630000003</v>
      </c>
      <c r="E34" s="18">
        <v>3438247.7600000016</v>
      </c>
      <c r="F34" s="1">
        <v>-2.4544587865495737E-2</v>
      </c>
      <c r="G34" s="1">
        <v>6.2968904533436731E-2</v>
      </c>
      <c r="I34" s="51">
        <v>3860393</v>
      </c>
      <c r="J34" s="95">
        <f t="shared" si="0"/>
        <v>1.6681467783743686E-2</v>
      </c>
      <c r="K34" s="95">
        <f t="shared" si="1"/>
        <v>-9.04097947669944E-2</v>
      </c>
    </row>
    <row r="35" spans="1:11" x14ac:dyDescent="0.35">
      <c r="A35" t="s">
        <v>485</v>
      </c>
      <c r="B35" t="s">
        <v>468</v>
      </c>
      <c r="C35" s="18">
        <v>1212091.6930000002</v>
      </c>
      <c r="D35" s="18">
        <v>1241132.2000000004</v>
      </c>
      <c r="E35" s="18">
        <v>1106100.8180000004</v>
      </c>
      <c r="F35" s="1">
        <v>-2.3398399461395214E-2</v>
      </c>
      <c r="G35" s="1">
        <v>1.8469791980629147E-2</v>
      </c>
      <c r="I35" s="51">
        <v>777563</v>
      </c>
      <c r="J35" s="95">
        <f t="shared" si="0"/>
        <v>-4.9100956696808473E-2</v>
      </c>
      <c r="K35" s="95">
        <f t="shared" si="1"/>
        <v>-0.19905986631330597</v>
      </c>
    </row>
    <row r="36" spans="1:11" s="93" customFormat="1" x14ac:dyDescent="0.35">
      <c r="A36" s="93" t="s">
        <v>486</v>
      </c>
      <c r="B36" s="93" t="s">
        <v>467</v>
      </c>
      <c r="C36" s="94">
        <v>21689685.39199999</v>
      </c>
      <c r="D36" s="94">
        <v>20702666.383999985</v>
      </c>
      <c r="E36" s="94">
        <v>20453729.220000014</v>
      </c>
      <c r="F36" s="95">
        <v>4.7675936504624428E-2</v>
      </c>
      <c r="G36" s="95">
        <v>1.1803436442181292E-2</v>
      </c>
      <c r="I36" s="194">
        <v>20504100</v>
      </c>
      <c r="J36" s="95">
        <f t="shared" si="0"/>
        <v>3.5143921703895131E-4</v>
      </c>
      <c r="K36" s="95">
        <f t="shared" si="1"/>
        <v>-2.7714678461547737E-2</v>
      </c>
    </row>
    <row r="37" spans="1:11" x14ac:dyDescent="0.35">
      <c r="A37" t="s">
        <v>486</v>
      </c>
      <c r="B37" t="s">
        <v>468</v>
      </c>
      <c r="C37" s="18">
        <v>24510676.924999978</v>
      </c>
      <c r="D37" s="18">
        <v>23641425.907000046</v>
      </c>
      <c r="E37" s="18">
        <v>22995704.292999931</v>
      </c>
      <c r="F37" s="1">
        <v>3.6768129867435606E-2</v>
      </c>
      <c r="G37" s="1">
        <v>1.2842037100495807E-2</v>
      </c>
      <c r="I37" s="51">
        <v>15818164</v>
      </c>
      <c r="J37" s="95">
        <f t="shared" si="0"/>
        <v>-5.2046463259466269E-2</v>
      </c>
      <c r="K37" s="95">
        <f t="shared" si="1"/>
        <v>-0.19665816461076702</v>
      </c>
    </row>
    <row r="38" spans="1:11" x14ac:dyDescent="0.35">
      <c r="A38" t="s">
        <v>487</v>
      </c>
      <c r="B38" t="s">
        <v>468</v>
      </c>
      <c r="C38" s="18">
        <v>2707399.2189999986</v>
      </c>
      <c r="D38" s="18">
        <v>2421455.581999999</v>
      </c>
      <c r="E38" s="18">
        <v>2199888.2599999984</v>
      </c>
      <c r="F38" s="1">
        <v>0.11808750039669302</v>
      </c>
      <c r="G38" s="1">
        <v>4.2390237759793781E-2</v>
      </c>
      <c r="I38" s="51">
        <v>2102329</v>
      </c>
      <c r="J38" s="95">
        <f t="shared" si="0"/>
        <v>-6.4591622549525773E-3</v>
      </c>
      <c r="K38" s="95">
        <f t="shared" si="1"/>
        <v>-0.11880060379077484</v>
      </c>
    </row>
    <row r="39" spans="1:11" s="93" customFormat="1" x14ac:dyDescent="0.35">
      <c r="A39" s="93" t="s">
        <v>488</v>
      </c>
      <c r="B39" s="93" t="s">
        <v>467</v>
      </c>
      <c r="C39" s="94">
        <v>507325.63800000044</v>
      </c>
      <c r="D39" s="94">
        <v>448091.8770000005</v>
      </c>
      <c r="E39" s="94">
        <v>603999.50000000035</v>
      </c>
      <c r="F39" s="95">
        <v>0.13219110642347109</v>
      </c>
      <c r="G39" s="95">
        <v>-3.4282622774186589E-2</v>
      </c>
      <c r="I39" s="194">
        <v>432835</v>
      </c>
      <c r="J39" s="95">
        <f t="shared" si="0"/>
        <v>-4.6487168460404016E-2</v>
      </c>
      <c r="K39" s="95">
        <f t="shared" si="1"/>
        <v>-7.6327995836225626E-2</v>
      </c>
    </row>
    <row r="40" spans="1:11" x14ac:dyDescent="0.35">
      <c r="A40" t="s">
        <v>488</v>
      </c>
      <c r="B40" t="s">
        <v>468</v>
      </c>
      <c r="C40" s="18">
        <v>886794.82499999925</v>
      </c>
      <c r="D40" s="18">
        <v>821747.12999999989</v>
      </c>
      <c r="E40" s="18">
        <v>792073.13000000024</v>
      </c>
      <c r="F40" s="1">
        <v>7.9157800040018822E-2</v>
      </c>
      <c r="G40" s="1">
        <v>2.2849115329849345E-2</v>
      </c>
      <c r="I40" s="51">
        <v>557329</v>
      </c>
      <c r="J40" s="95">
        <f t="shared" si="0"/>
        <v>-4.8974115944697361E-2</v>
      </c>
      <c r="K40" s="95">
        <f t="shared" si="1"/>
        <v>-0.20723540580685518</v>
      </c>
    </row>
    <row r="41" spans="1:11" s="93" customFormat="1" x14ac:dyDescent="0.35">
      <c r="A41" s="93" t="s">
        <v>489</v>
      </c>
      <c r="B41" s="93" t="s">
        <v>467</v>
      </c>
      <c r="C41" s="94">
        <v>977551.91900000011</v>
      </c>
      <c r="D41" s="94">
        <v>910736.18400000024</v>
      </c>
      <c r="E41" s="94">
        <v>852344.69000000029</v>
      </c>
      <c r="F41" s="95">
        <v>7.3364533191754511E-2</v>
      </c>
      <c r="G41" s="95">
        <v>2.7791246448279905E-2</v>
      </c>
      <c r="I41" s="194">
        <v>1024217</v>
      </c>
      <c r="J41" s="95">
        <f t="shared" si="0"/>
        <v>2.6589160402021195E-2</v>
      </c>
      <c r="K41" s="95">
        <f t="shared" si="1"/>
        <v>2.3590092669010243E-2</v>
      </c>
    </row>
    <row r="42" spans="1:11" x14ac:dyDescent="0.35">
      <c r="A42" t="s">
        <v>489</v>
      </c>
      <c r="B42" t="s">
        <v>468</v>
      </c>
      <c r="C42" s="18">
        <v>3917449.7590000001</v>
      </c>
      <c r="D42" s="18">
        <v>3597253.4240000006</v>
      </c>
      <c r="E42" s="18">
        <v>3250991.9999999991</v>
      </c>
      <c r="F42" s="1">
        <v>8.9011336500155247E-2</v>
      </c>
      <c r="G42" s="1">
        <v>3.800036665263562E-2</v>
      </c>
      <c r="I42" s="51">
        <v>2791033</v>
      </c>
      <c r="J42" s="95">
        <f t="shared" si="0"/>
        <v>-2.1556885164968453E-2</v>
      </c>
      <c r="K42" s="95">
        <f t="shared" si="1"/>
        <v>-0.15592552360140732</v>
      </c>
    </row>
    <row r="43" spans="1:11" x14ac:dyDescent="0.35">
      <c r="A43" t="s">
        <v>490</v>
      </c>
      <c r="B43" t="s">
        <v>468</v>
      </c>
      <c r="C43" s="18">
        <v>2256928.8049999992</v>
      </c>
      <c r="D43" s="18">
        <v>2282034.2010000008</v>
      </c>
      <c r="E43" s="18">
        <v>1729418.3099999989</v>
      </c>
      <c r="F43" s="1">
        <v>-1.1001323288231335E-2</v>
      </c>
      <c r="G43" s="1">
        <v>5.4686923230293782E-2</v>
      </c>
      <c r="I43" s="51">
        <v>1639714</v>
      </c>
      <c r="J43" s="95">
        <f t="shared" si="0"/>
        <v>-7.5801643399265872E-3</v>
      </c>
      <c r="K43" s="95">
        <f t="shared" si="1"/>
        <v>-0.14763595319799472</v>
      </c>
    </row>
    <row r="44" spans="1:11" s="93" customFormat="1" x14ac:dyDescent="0.35">
      <c r="A44" s="93" t="s">
        <v>491</v>
      </c>
      <c r="B44" s="93" t="s">
        <v>467</v>
      </c>
      <c r="C44" s="94">
        <v>335526.04100000003</v>
      </c>
      <c r="D44" s="94">
        <v>326593.7269999999</v>
      </c>
      <c r="E44" s="94">
        <v>300440.03000000003</v>
      </c>
      <c r="F44" s="95">
        <v>2.7349925187020396E-2</v>
      </c>
      <c r="G44" s="95">
        <v>2.2336077870200199E-2</v>
      </c>
      <c r="I44" s="194">
        <v>350099</v>
      </c>
      <c r="J44" s="95">
        <f t="shared" si="0"/>
        <v>2.2093059159760786E-2</v>
      </c>
      <c r="K44" s="95">
        <f t="shared" si="1"/>
        <v>2.1485765087695841E-2</v>
      </c>
    </row>
    <row r="45" spans="1:11" x14ac:dyDescent="0.35">
      <c r="A45" t="s">
        <v>491</v>
      </c>
      <c r="B45" t="s">
        <v>468</v>
      </c>
      <c r="C45" s="18">
        <v>1482561.0760000001</v>
      </c>
      <c r="D45" s="18">
        <v>1406740.9609999997</v>
      </c>
      <c r="E45" s="18">
        <v>1567301.8200000017</v>
      </c>
      <c r="F45" s="1">
        <v>5.3897709032445285E-2</v>
      </c>
      <c r="G45" s="1">
        <v>-1.1055336778875824E-2</v>
      </c>
      <c r="I45" s="51">
        <v>1211106</v>
      </c>
      <c r="J45" s="95">
        <f t="shared" si="0"/>
        <v>-3.6161617934667767E-2</v>
      </c>
      <c r="K45" s="95">
        <f t="shared" si="1"/>
        <v>-9.6174102731755529E-2</v>
      </c>
    </row>
    <row r="46" spans="1:11" s="93" customFormat="1" x14ac:dyDescent="0.35">
      <c r="A46" s="93" t="s">
        <v>94</v>
      </c>
      <c r="B46" s="93" t="s">
        <v>467</v>
      </c>
      <c r="C46" s="94">
        <v>3171074.5740000019</v>
      </c>
      <c r="D46" s="94">
        <v>2973161.0869999994</v>
      </c>
      <c r="E46" s="94">
        <v>3064975.5399999996</v>
      </c>
      <c r="F46" s="95">
        <v>6.656668818429301E-2</v>
      </c>
      <c r="G46" s="95">
        <v>6.8293994835237903E-3</v>
      </c>
      <c r="I46" s="194">
        <v>3276129</v>
      </c>
      <c r="J46" s="95">
        <f t="shared" si="0"/>
        <v>9.5630008483884588E-3</v>
      </c>
      <c r="K46" s="95">
        <f t="shared" si="1"/>
        <v>1.6429519121544889E-2</v>
      </c>
    </row>
    <row r="47" spans="1:11" x14ac:dyDescent="0.35">
      <c r="A47" t="s">
        <v>94</v>
      </c>
      <c r="B47" t="s">
        <v>468</v>
      </c>
      <c r="C47" s="18">
        <v>3273937.1900000004</v>
      </c>
      <c r="D47" s="18">
        <v>3132468.6569999997</v>
      </c>
      <c r="E47" s="18">
        <v>3139003.5630000005</v>
      </c>
      <c r="F47" s="1">
        <v>4.5161994736600652E-2</v>
      </c>
      <c r="G47" s="1">
        <v>8.453103679469498E-3</v>
      </c>
      <c r="I47" s="51">
        <v>1965365</v>
      </c>
      <c r="J47" s="95">
        <f t="shared" si="0"/>
        <v>-6.470157870954496E-2</v>
      </c>
      <c r="K47" s="95">
        <f t="shared" si="1"/>
        <v>-0.22520566402866449</v>
      </c>
    </row>
    <row r="48" spans="1:11" s="93" customFormat="1" x14ac:dyDescent="0.35">
      <c r="A48" s="93" t="s">
        <v>492</v>
      </c>
      <c r="B48" s="93" t="s">
        <v>467</v>
      </c>
      <c r="C48" s="94">
        <v>37086343.029999979</v>
      </c>
      <c r="D48" s="94">
        <v>35121231.305999994</v>
      </c>
      <c r="E48" s="94">
        <v>30413431.259999961</v>
      </c>
      <c r="F48" s="95">
        <v>5.5952244580453225E-2</v>
      </c>
      <c r="G48" s="95">
        <v>4.0470372513970565E-2</v>
      </c>
      <c r="I48" s="194">
        <v>40298018</v>
      </c>
      <c r="J48" s="95">
        <f t="shared" si="0"/>
        <v>4.1021627827907414E-2</v>
      </c>
      <c r="K48" s="95">
        <f t="shared" si="1"/>
        <v>4.2401044224881224E-2</v>
      </c>
    </row>
    <row r="49" spans="1:11" x14ac:dyDescent="0.35">
      <c r="A49" t="s">
        <v>492</v>
      </c>
      <c r="B49" t="s">
        <v>468</v>
      </c>
      <c r="C49" s="18">
        <v>81761350.302000627</v>
      </c>
      <c r="D49" s="18">
        <v>80781898.223999843</v>
      </c>
      <c r="E49" s="18">
        <v>75444951.550000072</v>
      </c>
      <c r="F49" s="1">
        <v>1.2124647966118118E-2</v>
      </c>
      <c r="G49" s="1">
        <v>1.621025738987103E-2</v>
      </c>
      <c r="I49" s="51">
        <v>52067845</v>
      </c>
      <c r="J49" s="95">
        <f t="shared" si="0"/>
        <v>-5.160043606285758E-2</v>
      </c>
      <c r="K49" s="95">
        <f t="shared" si="1"/>
        <v>-0.20198551575614465</v>
      </c>
    </row>
  </sheetData>
  <conditionalFormatting sqref="F1:G1048576">
    <cfRule type="cellIs" dxfId="1" priority="2" operator="lessThan">
      <formula>0</formula>
    </cfRule>
  </conditionalFormatting>
  <conditionalFormatting sqref="J2:K4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61"/>
  <sheetViews>
    <sheetView workbookViewId="0"/>
  </sheetViews>
  <sheetFormatPr defaultRowHeight="14.5" x14ac:dyDescent="0.35"/>
  <cols>
    <col min="1" max="1" width="22.26953125" customWidth="1"/>
    <col min="2" max="2" width="15.26953125" customWidth="1"/>
    <col min="3" max="3" width="17.7265625" customWidth="1"/>
    <col min="4" max="5" width="15.7265625" customWidth="1"/>
    <col min="6" max="6" width="15.26953125" customWidth="1"/>
    <col min="7" max="9" width="15.7265625" customWidth="1"/>
    <col min="10" max="10" width="14.26953125" customWidth="1"/>
    <col min="11" max="12" width="15.7265625" customWidth="1"/>
    <col min="13" max="13" width="14.26953125" customWidth="1"/>
    <col min="14" max="17" width="15.7265625" customWidth="1"/>
    <col min="19" max="21" width="11.7265625" customWidth="1"/>
    <col min="22" max="22" width="13.7265625" customWidth="1"/>
    <col min="23" max="23" width="3.7265625" customWidth="1"/>
    <col min="24" max="26" width="11.7265625" customWidth="1"/>
    <col min="27" max="27" width="12.7265625" customWidth="1"/>
    <col min="28" max="28" width="4.26953125" customWidth="1"/>
    <col min="33" max="33" width="11.26953125" style="84" customWidth="1"/>
    <col min="34" max="34" width="4.26953125" customWidth="1"/>
    <col min="39" max="39" width="10.7265625" style="84" customWidth="1"/>
  </cols>
  <sheetData>
    <row r="1" spans="1:44" s="32" customFormat="1" x14ac:dyDescent="0.35">
      <c r="B1" s="40"/>
      <c r="C1" s="40"/>
      <c r="D1" s="40"/>
      <c r="E1" s="30"/>
      <c r="F1" s="40"/>
      <c r="G1" s="40"/>
      <c r="H1" s="29"/>
      <c r="I1" s="30"/>
      <c r="AG1" s="85"/>
      <c r="AM1" s="85"/>
    </row>
    <row r="2" spans="1:44" s="5" customFormat="1" x14ac:dyDescent="0.35">
      <c r="B2" s="676" t="s">
        <v>493</v>
      </c>
      <c r="C2" s="676"/>
      <c r="D2" s="676"/>
      <c r="E2" s="676"/>
      <c r="F2" s="676"/>
      <c r="G2" s="676"/>
      <c r="H2" s="676"/>
      <c r="I2" s="676"/>
      <c r="J2" s="676" t="s">
        <v>494</v>
      </c>
      <c r="K2" s="676"/>
      <c r="L2" s="676"/>
      <c r="M2" s="676"/>
      <c r="N2" s="676"/>
      <c r="O2" s="676"/>
      <c r="P2" s="6"/>
      <c r="Q2" s="83"/>
      <c r="R2" s="83"/>
      <c r="S2" s="676" t="s">
        <v>495</v>
      </c>
      <c r="T2" s="676"/>
      <c r="U2" s="676"/>
      <c r="V2" s="676"/>
      <c r="X2" s="676" t="s">
        <v>496</v>
      </c>
      <c r="Y2" s="676"/>
      <c r="Z2" s="676"/>
      <c r="AA2" s="676"/>
      <c r="AC2" s="676" t="s">
        <v>497</v>
      </c>
      <c r="AD2" s="676"/>
      <c r="AE2" s="676"/>
      <c r="AF2" s="676"/>
      <c r="AG2" s="676"/>
      <c r="AH2" s="6"/>
      <c r="AI2" s="676" t="s">
        <v>498</v>
      </c>
      <c r="AJ2" s="676"/>
      <c r="AK2" s="676"/>
      <c r="AL2" s="676"/>
      <c r="AM2" s="676"/>
      <c r="AO2" s="5" t="s">
        <v>499</v>
      </c>
    </row>
    <row r="3" spans="1:44" s="6" customFormat="1" x14ac:dyDescent="0.35">
      <c r="A3" s="157" t="s">
        <v>128</v>
      </c>
      <c r="B3" s="676" t="s">
        <v>434</v>
      </c>
      <c r="C3" s="676"/>
      <c r="D3" s="676"/>
      <c r="E3" s="676"/>
      <c r="F3" s="676" t="s">
        <v>435</v>
      </c>
      <c r="G3" s="676"/>
      <c r="H3" s="676"/>
      <c r="I3" s="676"/>
      <c r="J3" s="676" t="s">
        <v>434</v>
      </c>
      <c r="K3" s="676"/>
      <c r="L3" s="676"/>
      <c r="M3" s="676" t="s">
        <v>435</v>
      </c>
      <c r="N3" s="676"/>
      <c r="O3" s="676"/>
      <c r="P3" s="6" t="s">
        <v>500</v>
      </c>
      <c r="Q3" s="6" t="s">
        <v>501</v>
      </c>
      <c r="S3" s="6">
        <v>2014</v>
      </c>
      <c r="T3" s="6">
        <v>2015</v>
      </c>
      <c r="U3" s="6">
        <v>2016</v>
      </c>
      <c r="V3" s="6">
        <v>2017</v>
      </c>
      <c r="X3" s="6">
        <v>2014</v>
      </c>
      <c r="Y3" s="6">
        <v>2015</v>
      </c>
      <c r="Z3" s="6">
        <v>2016</v>
      </c>
      <c r="AA3" s="6">
        <v>2017</v>
      </c>
      <c r="AC3" s="6" t="s">
        <v>502</v>
      </c>
      <c r="AD3" s="6" t="s">
        <v>503</v>
      </c>
      <c r="AE3" s="6" t="s">
        <v>504</v>
      </c>
      <c r="AF3" s="6" t="s">
        <v>505</v>
      </c>
      <c r="AG3" s="86"/>
      <c r="AI3" s="6" t="s">
        <v>502</v>
      </c>
      <c r="AJ3" s="6" t="s">
        <v>503</v>
      </c>
      <c r="AK3" s="6" t="s">
        <v>504</v>
      </c>
      <c r="AL3" s="6" t="s">
        <v>505</v>
      </c>
      <c r="AM3" s="86"/>
      <c r="AO3" s="6" t="str">
        <f>AI3</f>
        <v>14 to 15</v>
      </c>
      <c r="AP3" s="6" t="str">
        <f>AJ3</f>
        <v>15 to 16</v>
      </c>
      <c r="AQ3" s="6" t="str">
        <f>AK3</f>
        <v>16 to 17</v>
      </c>
      <c r="AR3" s="6" t="str">
        <f>AL3</f>
        <v>14 to 17</v>
      </c>
    </row>
    <row r="4" spans="1:44" s="6" customFormat="1" ht="29.9" customHeight="1" x14ac:dyDescent="0.35">
      <c r="A4" s="157"/>
      <c r="B4" s="28" t="s">
        <v>436</v>
      </c>
      <c r="C4" s="28" t="s">
        <v>437</v>
      </c>
      <c r="D4" s="28" t="s">
        <v>438</v>
      </c>
      <c r="E4" s="28" t="s">
        <v>129</v>
      </c>
      <c r="F4" s="28" t="s">
        <v>436</v>
      </c>
      <c r="G4" s="28" t="s">
        <v>437</v>
      </c>
      <c r="H4" s="28" t="s">
        <v>438</v>
      </c>
      <c r="I4" s="28" t="s">
        <v>129</v>
      </c>
      <c r="J4" s="28" t="s">
        <v>160</v>
      </c>
      <c r="K4" s="28" t="s">
        <v>159</v>
      </c>
      <c r="L4" s="28" t="s">
        <v>161</v>
      </c>
      <c r="M4" s="28" t="s">
        <v>160</v>
      </c>
      <c r="N4" s="28" t="s">
        <v>159</v>
      </c>
      <c r="O4" s="28" t="s">
        <v>161</v>
      </c>
      <c r="P4" s="28" t="s">
        <v>165</v>
      </c>
      <c r="Q4" s="28" t="s">
        <v>165</v>
      </c>
      <c r="AG4" s="87" t="s">
        <v>506</v>
      </c>
      <c r="AH4" s="28"/>
      <c r="AM4" s="87" t="s">
        <v>506</v>
      </c>
    </row>
    <row r="5" spans="1:44" x14ac:dyDescent="0.35">
      <c r="A5" t="s">
        <v>71</v>
      </c>
      <c r="B5" s="76"/>
      <c r="C5" s="76">
        <f>K5*365</f>
        <v>322690660</v>
      </c>
      <c r="D5" s="76">
        <f>L5*365</f>
        <v>322690660</v>
      </c>
      <c r="E5" s="4">
        <f>C5/D5</f>
        <v>1</v>
      </c>
      <c r="F5" s="76">
        <f t="shared" ref="F5:H7" si="0">M5*365</f>
        <v>4758870</v>
      </c>
      <c r="G5" s="76">
        <f t="shared" si="0"/>
        <v>550115590</v>
      </c>
      <c r="H5" s="76">
        <f t="shared" si="0"/>
        <v>554874460</v>
      </c>
      <c r="I5" s="4">
        <f>G5/H5</f>
        <v>0.99142351947501783</v>
      </c>
      <c r="J5" s="110"/>
      <c r="K5" s="78">
        <v>884084</v>
      </c>
      <c r="L5" s="97">
        <f>+SUM(J5:K5)</f>
        <v>884084</v>
      </c>
      <c r="M5" s="110">
        <v>13038</v>
      </c>
      <c r="N5" s="78">
        <v>1507166</v>
      </c>
      <c r="O5" s="97">
        <f>+SUM(M5:N5)</f>
        <v>1520204</v>
      </c>
      <c r="P5" s="77">
        <v>1965.87483348</v>
      </c>
      <c r="Q5" s="78">
        <v>27769.957384900001</v>
      </c>
      <c r="R5" s="18"/>
      <c r="S5" s="18">
        <f>'2014 RAW DATA'!L5</f>
        <v>1315640.9524259998</v>
      </c>
      <c r="T5" s="18">
        <f>'2015 RAW DATA'!L5</f>
        <v>1402537.4935920003</v>
      </c>
      <c r="U5" s="18">
        <f>'2016 RAW DATA'!L5</f>
        <v>1459031.4253980003</v>
      </c>
      <c r="V5" s="73">
        <f>L5</f>
        <v>884084</v>
      </c>
      <c r="X5" s="18">
        <f>'2014 RAW DATA'!O5</f>
        <v>1631440.2675068495</v>
      </c>
      <c r="Y5" s="18">
        <f>'2015 RAW DATA'!O5</f>
        <v>1673263.1063160005</v>
      </c>
      <c r="Z5" s="18">
        <f>'2016 RAW DATA'!O5</f>
        <v>1755029.508564</v>
      </c>
      <c r="AA5" s="90">
        <f>O5</f>
        <v>1520204</v>
      </c>
      <c r="AC5" s="84">
        <f>(T5/S5)-1</f>
        <v>6.6048826623833934E-2</v>
      </c>
      <c r="AD5" s="84">
        <f>(U5/T5)-1</f>
        <v>4.0279801477046462E-2</v>
      </c>
      <c r="AE5" s="84">
        <f>(V5/U5)-1</f>
        <v>-0.39406102938541154</v>
      </c>
      <c r="AF5" s="84">
        <f>((V5/S5)^0.333)-1</f>
        <v>-0.123988924402193</v>
      </c>
      <c r="AG5" s="84">
        <v>0.05</v>
      </c>
      <c r="AI5" s="84">
        <f>(Y5/X5)-1</f>
        <v>2.5635531770381137E-2</v>
      </c>
      <c r="AJ5" s="84">
        <f>(Z5/Y5)-1</f>
        <v>4.8866434656545721E-2</v>
      </c>
      <c r="AK5" s="84">
        <f>(AA5/Z5)-1</f>
        <v>-0.1338014588462042</v>
      </c>
      <c r="AL5" s="84">
        <f>((AA5/X5)^0.333)-1</f>
        <v>-2.3241676154355795E-2</v>
      </c>
      <c r="AM5" s="84">
        <v>0.06</v>
      </c>
      <c r="AO5" s="84">
        <f>((Y5+T5)/(X5+S5))-1</f>
        <v>4.3676902796077055E-2</v>
      </c>
      <c r="AP5" s="84">
        <f>((Z5+U5)/(Y5+T5))-1</f>
        <v>4.4951006920973757E-2</v>
      </c>
      <c r="AQ5" s="84">
        <f>((AA5+V5)/(Z5+U5))-1</f>
        <v>-0.2519469763019665</v>
      </c>
      <c r="AR5" s="84">
        <f>((AA5+V5)/(X5+S5))^0.3333-1</f>
        <v>-6.5596604036503581E-2</v>
      </c>
    </row>
    <row r="6" spans="1:44" x14ac:dyDescent="0.35">
      <c r="A6" t="s">
        <v>72</v>
      </c>
      <c r="B6" s="76"/>
      <c r="C6" s="76">
        <f t="shared" ref="C6:D21" si="1">K6*365</f>
        <v>965518440</v>
      </c>
      <c r="D6" s="76">
        <f t="shared" si="1"/>
        <v>967406220</v>
      </c>
      <c r="E6" s="4">
        <f>C6/D6</f>
        <v>0.99804861705354753</v>
      </c>
      <c r="F6" s="76">
        <f t="shared" si="0"/>
        <v>78729405</v>
      </c>
      <c r="G6" s="76">
        <f t="shared" si="0"/>
        <v>625262885</v>
      </c>
      <c r="H6" s="76">
        <f t="shared" si="0"/>
        <v>703992290</v>
      </c>
      <c r="I6" s="4">
        <f>G6/H6</f>
        <v>0.88816723404740694</v>
      </c>
      <c r="J6" s="110">
        <v>5172</v>
      </c>
      <c r="K6" s="78">
        <v>2645256</v>
      </c>
      <c r="L6" s="97">
        <f t="shared" ref="L6:L29" si="2">+SUM(J6:K6)</f>
        <v>2650428</v>
      </c>
      <c r="M6" s="110">
        <v>215697</v>
      </c>
      <c r="N6" s="78">
        <v>1713049</v>
      </c>
      <c r="O6" s="97">
        <f t="shared" ref="O6:O30" si="3">+SUM(M6:N6)</f>
        <v>1928746</v>
      </c>
      <c r="P6" s="77">
        <v>702.64296156</v>
      </c>
      <c r="Q6" s="78">
        <v>78101.518226970002</v>
      </c>
      <c r="R6" s="18"/>
      <c r="S6" s="18">
        <f>'2014 RAW DATA'!L6</f>
        <v>3119865.4357500002</v>
      </c>
      <c r="T6" s="18">
        <f>'2015 RAW DATA'!L6</f>
        <v>3325601.5330860005</v>
      </c>
      <c r="U6" s="18">
        <f>'2016 RAW DATA'!L6</f>
        <v>3445868.4288300024</v>
      </c>
      <c r="V6" s="73">
        <f>L6</f>
        <v>2650428</v>
      </c>
      <c r="X6" s="18">
        <f>'2014 RAW DATA'!O6</f>
        <v>2313355.8068493148</v>
      </c>
      <c r="Y6" s="18">
        <f>'2015 RAW DATA'!O6</f>
        <v>2495929.8668279997</v>
      </c>
      <c r="Z6" s="18">
        <f>'2016 RAW DATA'!O6</f>
        <v>2620185.9074519998</v>
      </c>
      <c r="AA6" s="90">
        <f t="shared" ref="AA6:AA30" si="4">O6</f>
        <v>1928746</v>
      </c>
      <c r="AC6" s="84">
        <f t="shared" ref="AC6:AC30" si="5">(T6/S6)-1</f>
        <v>6.5943900970377056E-2</v>
      </c>
      <c r="AD6" s="84">
        <f t="shared" ref="AD6:AD30" si="6">(U6/T6)-1</f>
        <v>3.6163952460173343E-2</v>
      </c>
      <c r="AE6" s="84">
        <f t="shared" ref="AE6:AE30" si="7">(V6/U6)-1</f>
        <v>-0.23083888583061296</v>
      </c>
      <c r="AF6" s="84">
        <f t="shared" ref="AF6:AF30" si="8">((V6/S6)^0.333)-1</f>
        <v>-5.285386940755854E-2</v>
      </c>
      <c r="AG6" s="84">
        <v>0.05</v>
      </c>
      <c r="AI6" s="84">
        <f t="shared" ref="AI6:AI30" si="9">(Y6/X6)-1</f>
        <v>7.8921737606521658E-2</v>
      </c>
      <c r="AJ6" s="84">
        <f t="shared" ref="AJ6:AJ30" si="10">(Z6/Y6)-1</f>
        <v>4.978346638478004E-2</v>
      </c>
      <c r="AK6" s="84">
        <f t="shared" ref="AK6:AK30" si="11">(AA6/Z6)-1</f>
        <v>-0.26388963679466193</v>
      </c>
      <c r="AL6" s="84">
        <f t="shared" ref="AL6:AL30" si="12">((AA6/X6)^0.333)-1</f>
        <v>-5.8752453840217322E-2</v>
      </c>
      <c r="AM6" s="84">
        <v>0.05</v>
      </c>
      <c r="AO6" s="84">
        <f t="shared" ref="AO6:AO30" si="13">((Y6+T6)/(X6+S6))-1</f>
        <v>7.1469601545051997E-2</v>
      </c>
      <c r="AP6" s="84">
        <f t="shared" ref="AP6:AP30" si="14">((Z6+U6)/(Y6+T6))-1</f>
        <v>4.2003198053971458E-2</v>
      </c>
      <c r="AQ6" s="84">
        <f t="shared" ref="AQ6:AQ30" si="15">((AA6+V6)/(Z6+U6))-1</f>
        <v>-0.24511490564612026</v>
      </c>
      <c r="AR6" s="84">
        <f t="shared" ref="AR6:AR30" si="16">((AA6+V6)/(X6+S6))^0.3333-1</f>
        <v>-5.5404814394518387E-2</v>
      </c>
    </row>
    <row r="7" spans="1:44" x14ac:dyDescent="0.35">
      <c r="A7" t="s">
        <v>73</v>
      </c>
      <c r="B7" s="76">
        <f>J7*365</f>
        <v>1785273400</v>
      </c>
      <c r="C7" s="76">
        <f>K7*365</f>
        <v>4867984195</v>
      </c>
      <c r="D7" s="76">
        <f t="shared" si="1"/>
        <v>6653257595</v>
      </c>
      <c r="E7" s="4">
        <f>C7/D7</f>
        <v>0.73166928012201815</v>
      </c>
      <c r="F7" s="76">
        <f t="shared" si="0"/>
        <v>3923838330</v>
      </c>
      <c r="G7" s="76">
        <f t="shared" si="0"/>
        <v>10506961905</v>
      </c>
      <c r="H7" s="76">
        <f t="shared" si="0"/>
        <v>14430800235</v>
      </c>
      <c r="I7" s="4">
        <f>G7/H7</f>
        <v>0.72809281078652532</v>
      </c>
      <c r="J7" s="110">
        <v>4891160</v>
      </c>
      <c r="K7" s="78">
        <v>13336943</v>
      </c>
      <c r="L7" s="97">
        <f t="shared" si="2"/>
        <v>18228103</v>
      </c>
      <c r="M7" s="110">
        <v>10750242</v>
      </c>
      <c r="N7" s="78">
        <v>28786197</v>
      </c>
      <c r="O7" s="97">
        <f t="shared" si="3"/>
        <v>39536439</v>
      </c>
      <c r="P7" s="77">
        <v>969429.23538616998</v>
      </c>
      <c r="Q7" s="78">
        <v>3627298.3886237717</v>
      </c>
      <c r="R7" s="18"/>
      <c r="S7" s="18">
        <f>'2014 RAW DATA'!L7</f>
        <v>15282035.058233997</v>
      </c>
      <c r="T7" s="18">
        <f>'2015 RAW DATA'!L7</f>
        <v>16290695.005385999</v>
      </c>
      <c r="U7" s="18">
        <f>'2016 RAW DATA'!L7</f>
        <v>16893889.672866002</v>
      </c>
      <c r="V7" s="73">
        <f>L7</f>
        <v>18228103</v>
      </c>
      <c r="X7" s="18">
        <f>'2014 RAW DATA'!O7</f>
        <v>35082640.375342466</v>
      </c>
      <c r="Y7" s="18">
        <f>'2015 RAW DATA'!O7</f>
        <v>36299100.589793995</v>
      </c>
      <c r="Z7" s="18">
        <f>'2016 RAW DATA'!O7</f>
        <v>39915918.53623201</v>
      </c>
      <c r="AA7" s="73">
        <f t="shared" si="4"/>
        <v>39536439</v>
      </c>
      <c r="AC7" s="84">
        <f t="shared" si="5"/>
        <v>6.6002986075374359E-2</v>
      </c>
      <c r="AD7" s="84">
        <f t="shared" si="6"/>
        <v>3.7026944969541065E-2</v>
      </c>
      <c r="AE7" s="84">
        <f t="shared" si="7"/>
        <v>7.8976088572244807E-2</v>
      </c>
      <c r="AF7" s="84">
        <f t="shared" si="8"/>
        <v>6.0460689086277331E-2</v>
      </c>
      <c r="AG7" s="84">
        <v>0.05</v>
      </c>
      <c r="AI7" s="84">
        <f t="shared" si="9"/>
        <v>3.4674135168757392E-2</v>
      </c>
      <c r="AJ7" s="84">
        <f t="shared" si="10"/>
        <v>9.9639326806211015E-2</v>
      </c>
      <c r="AK7" s="84">
        <f t="shared" si="11"/>
        <v>-9.5069724097054387E-3</v>
      </c>
      <c r="AL7" s="84">
        <f t="shared" si="12"/>
        <v>4.0601524521003629E-2</v>
      </c>
      <c r="AM7" s="84">
        <v>0.06</v>
      </c>
      <c r="AO7" s="84">
        <f t="shared" si="13"/>
        <v>4.418017474446212E-2</v>
      </c>
      <c r="AP7" s="84">
        <f t="shared" si="14"/>
        <v>8.024394402295032E-2</v>
      </c>
      <c r="AQ7" s="84">
        <f t="shared" si="15"/>
        <v>1.6805791482131571E-2</v>
      </c>
      <c r="AR7" s="84">
        <f t="shared" si="16"/>
        <v>4.6750347478756282E-2</v>
      </c>
    </row>
    <row r="8" spans="1:44" x14ac:dyDescent="0.35">
      <c r="A8" t="s">
        <v>74</v>
      </c>
      <c r="B8" s="76">
        <f>J8*365</f>
        <v>0</v>
      </c>
      <c r="C8" s="76">
        <f t="shared" ref="C8:C31" si="17">K8*365</f>
        <v>1817795630</v>
      </c>
      <c r="D8" s="76">
        <f t="shared" si="1"/>
        <v>1817795630</v>
      </c>
      <c r="E8" s="4">
        <f t="shared" ref="E8:E31" si="18">C8/D8</f>
        <v>1</v>
      </c>
      <c r="F8" s="76">
        <f t="shared" ref="F8:F31" si="19">M8*365</f>
        <v>281135775</v>
      </c>
      <c r="G8" s="76">
        <f t="shared" ref="G8:G31" si="20">N8*365</f>
        <v>2489227000</v>
      </c>
      <c r="H8" s="76">
        <f t="shared" ref="H8:H31" si="21">O8*365</f>
        <v>2770362775</v>
      </c>
      <c r="I8" s="4">
        <f t="shared" ref="I8:I31" si="22">G8/H8</f>
        <v>0.89852023080262478</v>
      </c>
      <c r="J8" s="110"/>
      <c r="K8" s="78">
        <v>4980262</v>
      </c>
      <c r="L8" s="97">
        <f t="shared" si="2"/>
        <v>4980262</v>
      </c>
      <c r="M8" s="110">
        <v>770235</v>
      </c>
      <c r="N8" s="78">
        <v>6819800</v>
      </c>
      <c r="O8" s="97">
        <f t="shared" si="3"/>
        <v>7590035</v>
      </c>
      <c r="P8" s="77">
        <v>2042.21263776</v>
      </c>
      <c r="Q8" s="78">
        <v>433739.23936253996</v>
      </c>
      <c r="R8" s="18"/>
      <c r="S8" s="18">
        <f>'2014 RAW DATA'!L8</f>
        <v>4348710.0431700014</v>
      </c>
      <c r="T8" s="18">
        <f>'2015 RAW DATA'!L8</f>
        <v>4635675.7254360002</v>
      </c>
      <c r="U8" s="18">
        <f>'2016 RAW DATA'!L8</f>
        <v>4807262.5852080015</v>
      </c>
      <c r="V8" s="73">
        <f>L8</f>
        <v>4980262</v>
      </c>
      <c r="X8" s="18">
        <f>'2014 RAW DATA'!O8</f>
        <v>7634612.863835616</v>
      </c>
      <c r="Y8" s="18">
        <f>'2015 RAW DATA'!O8</f>
        <v>8045066.0747760022</v>
      </c>
      <c r="Z8" s="18">
        <f>'2016 RAW DATA'!O8</f>
        <v>8759934.2740739994</v>
      </c>
      <c r="AA8" s="90">
        <f t="shared" si="4"/>
        <v>7590035</v>
      </c>
      <c r="AC8" s="84">
        <f t="shared" si="5"/>
        <v>6.5988690765138802E-2</v>
      </c>
      <c r="AD8" s="84">
        <f t="shared" si="6"/>
        <v>3.7014422477936071E-2</v>
      </c>
      <c r="AE8" s="84">
        <f t="shared" si="7"/>
        <v>3.5987094885209681E-2</v>
      </c>
      <c r="AF8" s="84">
        <f t="shared" si="8"/>
        <v>4.6190926579412706E-2</v>
      </c>
      <c r="AG8" s="84">
        <v>0.04</v>
      </c>
      <c r="AI8" s="84">
        <f t="shared" si="9"/>
        <v>5.3762151173985639E-2</v>
      </c>
      <c r="AJ8" s="84">
        <f t="shared" si="10"/>
        <v>8.8857964950636026E-2</v>
      </c>
      <c r="AK8" s="84">
        <f t="shared" si="11"/>
        <v>-0.13355114747109997</v>
      </c>
      <c r="AL8" s="84">
        <f t="shared" si="12"/>
        <v>-1.9481575964905851E-3</v>
      </c>
      <c r="AM8" s="84">
        <v>0.06</v>
      </c>
      <c r="AO8" s="84">
        <f t="shared" si="13"/>
        <v>5.8199123783826634E-2</v>
      </c>
      <c r="AP8" s="84">
        <f t="shared" si="14"/>
        <v>6.9905615384044717E-2</v>
      </c>
      <c r="AQ8" s="84">
        <f t="shared" si="15"/>
        <v>-7.3478690522572609E-2</v>
      </c>
      <c r="AR8" s="84">
        <f t="shared" si="16"/>
        <v>1.6066345285349115E-2</v>
      </c>
    </row>
    <row r="9" spans="1:44" x14ac:dyDescent="0.35">
      <c r="A9" t="s">
        <v>75</v>
      </c>
      <c r="B9" s="76">
        <f>J9*365</f>
        <v>19091690</v>
      </c>
      <c r="C9" s="76">
        <f t="shared" si="17"/>
        <v>613496015</v>
      </c>
      <c r="D9" s="76">
        <f t="shared" si="1"/>
        <v>632587705</v>
      </c>
      <c r="E9" s="4">
        <f t="shared" si="18"/>
        <v>0.96981969480421693</v>
      </c>
      <c r="F9" s="76">
        <f t="shared" si="19"/>
        <v>244378085</v>
      </c>
      <c r="G9" s="76">
        <f t="shared" si="20"/>
        <v>760888125</v>
      </c>
      <c r="H9" s="76">
        <f t="shared" si="21"/>
        <v>1005266210</v>
      </c>
      <c r="I9" s="4">
        <f t="shared" si="22"/>
        <v>0.75690211948932418</v>
      </c>
      <c r="J9" s="110">
        <v>52306</v>
      </c>
      <c r="K9" s="78">
        <v>1680811</v>
      </c>
      <c r="L9" s="97">
        <f t="shared" si="2"/>
        <v>1733117</v>
      </c>
      <c r="M9" s="110">
        <v>669529</v>
      </c>
      <c r="N9" s="78">
        <v>2084625</v>
      </c>
      <c r="O9" s="97">
        <f t="shared" si="3"/>
        <v>2754154</v>
      </c>
      <c r="P9" s="77">
        <v>25502.102160480001</v>
      </c>
      <c r="Q9" s="77">
        <v>468204.96256245003</v>
      </c>
      <c r="R9" s="18"/>
      <c r="S9" s="73">
        <v>0</v>
      </c>
      <c r="T9" s="73">
        <v>0</v>
      </c>
      <c r="U9" s="73">
        <v>0</v>
      </c>
      <c r="V9" s="73">
        <f>L9</f>
        <v>1733117</v>
      </c>
      <c r="X9" s="18">
        <f>'2014 RAW DATA'!O9</f>
        <v>5160753.8449315075</v>
      </c>
      <c r="Y9" s="18">
        <f>'2015 RAW DATA'!O9</f>
        <v>5480142.1420679977</v>
      </c>
      <c r="Z9" s="18">
        <f>'2016 RAW DATA'!O9</f>
        <v>6063607.8410543986</v>
      </c>
      <c r="AA9" s="90">
        <f t="shared" si="4"/>
        <v>2754154</v>
      </c>
      <c r="AC9" s="84"/>
      <c r="AD9" s="84"/>
      <c r="AE9" s="84"/>
      <c r="AF9" s="84"/>
      <c r="AI9" s="84">
        <f t="shared" si="9"/>
        <v>6.1887915357592416E-2</v>
      </c>
      <c r="AJ9" s="84">
        <f t="shared" si="10"/>
        <v>0.10646908125018517</v>
      </c>
      <c r="AK9" s="84">
        <f>(AA9/Z9)-1</f>
        <v>-0.54578955760419334</v>
      </c>
      <c r="AL9" s="84">
        <f t="shared" si="12"/>
        <v>-0.18869789989481556</v>
      </c>
      <c r="AM9" s="84">
        <v>0.06</v>
      </c>
      <c r="AO9" s="84">
        <f t="shared" si="13"/>
        <v>6.1887915357592416E-2</v>
      </c>
      <c r="AP9" s="84">
        <f t="shared" si="14"/>
        <v>0.10646908125018517</v>
      </c>
      <c r="AQ9" s="84">
        <f t="shared" si="15"/>
        <v>-0.25996681882717043</v>
      </c>
      <c r="AR9" s="84">
        <f t="shared" si="16"/>
        <v>-4.553851319841995E-2</v>
      </c>
    </row>
    <row r="10" spans="1:44" x14ac:dyDescent="0.35">
      <c r="A10" t="s">
        <v>76</v>
      </c>
      <c r="B10" s="76"/>
      <c r="C10" s="76"/>
      <c r="D10" s="76"/>
      <c r="E10" s="4"/>
      <c r="F10" s="76">
        <f t="shared" si="19"/>
        <v>49230470</v>
      </c>
      <c r="G10" s="76">
        <f t="shared" si="20"/>
        <v>1098743440</v>
      </c>
      <c r="H10" s="76">
        <f t="shared" si="21"/>
        <v>1147973910</v>
      </c>
      <c r="I10" s="4">
        <f t="shared" si="22"/>
        <v>0.95711534071362303</v>
      </c>
      <c r="J10" s="110"/>
      <c r="K10" s="76"/>
      <c r="L10" s="97"/>
      <c r="M10" s="110">
        <v>134878</v>
      </c>
      <c r="N10" s="78">
        <v>3010256</v>
      </c>
      <c r="O10" s="97">
        <f t="shared" si="3"/>
        <v>3145134</v>
      </c>
      <c r="P10" s="81" t="s">
        <v>507</v>
      </c>
      <c r="Q10" s="77">
        <v>116546.44788885</v>
      </c>
      <c r="R10" s="18"/>
      <c r="S10" s="73">
        <v>0</v>
      </c>
      <c r="T10" s="73">
        <f>J10</f>
        <v>0</v>
      </c>
      <c r="U10" s="73">
        <v>0</v>
      </c>
      <c r="V10" s="73">
        <f t="shared" ref="V10:V20" si="23">L11</f>
        <v>2281165</v>
      </c>
      <c r="X10" s="18">
        <f>'2014 RAW DATA'!O10</f>
        <v>2947081.7221917808</v>
      </c>
      <c r="Y10" s="18">
        <f>'2015 RAW DATA'!O10</f>
        <v>3171402.8239139994</v>
      </c>
      <c r="Z10" s="18">
        <f>'2016 RAW DATA'!O10</f>
        <v>3288607.5613440005</v>
      </c>
      <c r="AA10" s="73">
        <f t="shared" si="4"/>
        <v>3145134</v>
      </c>
      <c r="AC10" s="84"/>
      <c r="AD10" s="84"/>
      <c r="AE10" s="84"/>
      <c r="AF10" s="84"/>
      <c r="AI10" s="84">
        <f t="shared" si="9"/>
        <v>7.6116349279716777E-2</v>
      </c>
      <c r="AJ10" s="84">
        <f t="shared" si="10"/>
        <v>3.6956748775720749E-2</v>
      </c>
      <c r="AK10" s="84">
        <f t="shared" si="11"/>
        <v>-4.3627449815071606E-2</v>
      </c>
      <c r="AL10" s="84">
        <f t="shared" si="12"/>
        <v>2.1894925453981751E-2</v>
      </c>
      <c r="AM10" s="84">
        <v>0.05</v>
      </c>
      <c r="AO10" s="84">
        <f t="shared" si="13"/>
        <v>7.6116349279716777E-2</v>
      </c>
      <c r="AP10" s="84">
        <f t="shared" si="14"/>
        <v>3.6956748775720749E-2</v>
      </c>
      <c r="AQ10" s="84">
        <f t="shared" si="15"/>
        <v>0.65002935095799619</v>
      </c>
      <c r="AR10" s="84">
        <f t="shared" si="16"/>
        <v>0.22563647421804323</v>
      </c>
    </row>
    <row r="11" spans="1:44" x14ac:dyDescent="0.35">
      <c r="A11" t="s">
        <v>77</v>
      </c>
      <c r="B11" s="76"/>
      <c r="C11" s="76">
        <f t="shared" si="17"/>
        <v>832625225</v>
      </c>
      <c r="D11" s="76">
        <f t="shared" si="1"/>
        <v>832625225</v>
      </c>
      <c r="E11" s="4">
        <f t="shared" si="18"/>
        <v>1</v>
      </c>
      <c r="F11" s="76">
        <f t="shared" si="19"/>
        <v>59174530</v>
      </c>
      <c r="G11" s="76">
        <f t="shared" si="20"/>
        <v>1856449495</v>
      </c>
      <c r="H11" s="76">
        <f t="shared" si="21"/>
        <v>1915624025</v>
      </c>
      <c r="I11" s="4">
        <f t="shared" si="22"/>
        <v>0.96910952816015139</v>
      </c>
      <c r="J11" s="110"/>
      <c r="K11" s="78">
        <v>2281165</v>
      </c>
      <c r="L11" s="97">
        <f t="shared" si="2"/>
        <v>2281165</v>
      </c>
      <c r="M11" s="110">
        <v>162122</v>
      </c>
      <c r="N11" s="78">
        <v>5086163</v>
      </c>
      <c r="O11" s="97">
        <f t="shared" si="3"/>
        <v>5248285</v>
      </c>
      <c r="P11" s="77">
        <v>8004.7034793899984</v>
      </c>
      <c r="Q11" s="78">
        <v>130933.35705546002</v>
      </c>
      <c r="R11" s="18"/>
      <c r="S11" s="18">
        <f>'2014 RAW DATA'!L11</f>
        <v>2125476.1758539998</v>
      </c>
      <c r="T11" s="18">
        <f>'2015 RAW DATA'!L11</f>
        <v>2302528.8927539992</v>
      </c>
      <c r="U11" s="18">
        <f>'2016 RAW DATA'!L11</f>
        <v>2387841.6403319999</v>
      </c>
      <c r="V11" s="73">
        <f t="shared" si="23"/>
        <v>87898379</v>
      </c>
      <c r="X11" s="18">
        <f>'2014 RAW DATA'!O11</f>
        <v>6029124.8400547942</v>
      </c>
      <c r="Y11" s="18">
        <f>'2015 RAW DATA'!O11</f>
        <v>5265568.279884004</v>
      </c>
      <c r="Z11" s="18">
        <f>'2016 RAW DATA'!O11</f>
        <v>6819216.3584879953</v>
      </c>
      <c r="AA11" s="73">
        <f t="shared" si="4"/>
        <v>5248285</v>
      </c>
      <c r="AC11" s="84">
        <f t="shared" si="5"/>
        <v>8.3300259448384928E-2</v>
      </c>
      <c r="AD11" s="84">
        <f t="shared" si="6"/>
        <v>3.7051759848259813E-2</v>
      </c>
      <c r="AE11" s="84">
        <f t="shared" si="7"/>
        <v>35.810807515601752</v>
      </c>
      <c r="AF11" s="84">
        <f t="shared" si="8"/>
        <v>2.4538438578668607</v>
      </c>
      <c r="AG11" s="84">
        <v>0.06</v>
      </c>
      <c r="AI11" s="84">
        <f t="shared" si="9"/>
        <v>-0.12664467570783466</v>
      </c>
      <c r="AJ11" s="84">
        <f t="shared" si="10"/>
        <v>0.29505800628193857</v>
      </c>
      <c r="AK11" s="84">
        <f t="shared" si="11"/>
        <v>-0.23036831153371895</v>
      </c>
      <c r="AL11" s="84">
        <f t="shared" si="12"/>
        <v>-4.5136871392445821E-2</v>
      </c>
      <c r="AM11" s="84">
        <v>7.0000000000000007E-2</v>
      </c>
      <c r="AO11" s="84">
        <f t="shared" si="13"/>
        <v>-7.1923058176185717E-2</v>
      </c>
      <c r="AP11" s="84">
        <f t="shared" si="14"/>
        <v>0.21656181055755419</v>
      </c>
      <c r="AQ11" s="84">
        <f t="shared" si="15"/>
        <v>9.1168759892614943</v>
      </c>
      <c r="AR11" s="84">
        <f t="shared" si="16"/>
        <v>1.2519198927431971</v>
      </c>
    </row>
    <row r="12" spans="1:44" x14ac:dyDescent="0.35">
      <c r="A12" t="s">
        <v>78</v>
      </c>
      <c r="B12" s="76">
        <f>J12*365</f>
        <v>7234734350</v>
      </c>
      <c r="C12" s="76">
        <f t="shared" si="17"/>
        <v>24848173985</v>
      </c>
      <c r="D12" s="76">
        <f t="shared" si="1"/>
        <v>32082908335</v>
      </c>
      <c r="E12" s="4">
        <f t="shared" si="18"/>
        <v>0.77449879934645893</v>
      </c>
      <c r="F12" s="76">
        <f t="shared" si="19"/>
        <v>13820213270</v>
      </c>
      <c r="G12" s="76">
        <f t="shared" si="20"/>
        <v>33384546880</v>
      </c>
      <c r="H12" s="76">
        <f t="shared" si="21"/>
        <v>47204760150</v>
      </c>
      <c r="I12" s="4">
        <f t="shared" si="22"/>
        <v>0.70722839760049072</v>
      </c>
      <c r="J12" s="110">
        <v>19821190</v>
      </c>
      <c r="K12" s="78">
        <v>68077189</v>
      </c>
      <c r="L12" s="97">
        <f t="shared" si="2"/>
        <v>87898379</v>
      </c>
      <c r="M12" s="110">
        <v>37863598</v>
      </c>
      <c r="N12" s="78">
        <v>91464512</v>
      </c>
      <c r="O12" s="97">
        <f t="shared" si="3"/>
        <v>129328110</v>
      </c>
      <c r="P12" s="77">
        <v>5885934.2516785208</v>
      </c>
      <c r="Q12" s="78">
        <v>13989256.845206603</v>
      </c>
      <c r="R12" s="18"/>
      <c r="S12" s="18">
        <f>'2014 RAW DATA'!L12</f>
        <v>83763015.538350001</v>
      </c>
      <c r="T12" s="18">
        <f>'2015 RAW DATA'!L12</f>
        <v>88480004.171747968</v>
      </c>
      <c r="U12" s="18">
        <f>'2016 RAW DATA'!L12</f>
        <v>91691203.105164081</v>
      </c>
      <c r="V12" s="73">
        <f t="shared" si="23"/>
        <v>7717177</v>
      </c>
      <c r="X12" s="18">
        <f>'2014 RAW DATA'!O12</f>
        <v>136097582.45479453</v>
      </c>
      <c r="Y12" s="18">
        <f>'2015 RAW DATA'!O12</f>
        <v>137515689.51466781</v>
      </c>
      <c r="Z12" s="18">
        <f>'2016 RAW DATA'!O12</f>
        <v>148043066.13244814</v>
      </c>
      <c r="AA12" s="90">
        <f t="shared" si="4"/>
        <v>129328110</v>
      </c>
      <c r="AC12" s="84">
        <f t="shared" si="5"/>
        <v>5.6313500690986285E-2</v>
      </c>
      <c r="AD12" s="84">
        <f t="shared" si="6"/>
        <v>3.6292933793073523E-2</v>
      </c>
      <c r="AE12" s="84">
        <f t="shared" si="7"/>
        <v>-0.91583514297277913</v>
      </c>
      <c r="AF12" s="84">
        <f t="shared" si="8"/>
        <v>-0.54799082491898887</v>
      </c>
      <c r="AG12" s="84">
        <v>0.05</v>
      </c>
      <c r="AI12" s="84">
        <f t="shared" si="9"/>
        <v>1.0419781411946216E-2</v>
      </c>
      <c r="AJ12" s="84">
        <f t="shared" si="10"/>
        <v>7.6554003800834991E-2</v>
      </c>
      <c r="AK12" s="84">
        <f t="shared" si="11"/>
        <v>-0.12641562094981618</v>
      </c>
      <c r="AL12" s="84">
        <f t="shared" si="12"/>
        <v>-1.6845980330138399E-2</v>
      </c>
      <c r="AM12" s="84">
        <v>0.04</v>
      </c>
      <c r="AO12" s="84">
        <f t="shared" si="13"/>
        <v>2.7904480153658984E-2</v>
      </c>
      <c r="AP12" s="84">
        <f t="shared" si="14"/>
        <v>6.0791315653384137E-2</v>
      </c>
      <c r="AQ12" s="84">
        <f t="shared" si="15"/>
        <v>-0.42834502786846973</v>
      </c>
      <c r="AR12" s="84">
        <f t="shared" si="16"/>
        <v>-0.14576162757130706</v>
      </c>
    </row>
    <row r="13" spans="1:44" x14ac:dyDescent="0.35">
      <c r="A13" t="s">
        <v>79</v>
      </c>
      <c r="B13" s="76">
        <f>J13*365</f>
        <v>327902495</v>
      </c>
      <c r="C13" s="76">
        <f t="shared" si="17"/>
        <v>2488867110</v>
      </c>
      <c r="D13" s="76">
        <f t="shared" si="1"/>
        <v>2816769605</v>
      </c>
      <c r="E13" s="4">
        <f t="shared" si="18"/>
        <v>0.8835891673859495</v>
      </c>
      <c r="F13" s="76">
        <f t="shared" si="19"/>
        <v>951720710</v>
      </c>
      <c r="G13" s="76">
        <f t="shared" si="20"/>
        <v>3372988360</v>
      </c>
      <c r="H13" s="76">
        <f t="shared" si="21"/>
        <v>4324709070</v>
      </c>
      <c r="I13" s="4">
        <f t="shared" si="22"/>
        <v>0.77993416560619644</v>
      </c>
      <c r="J13" s="110">
        <v>898363</v>
      </c>
      <c r="K13" s="78">
        <v>6818814</v>
      </c>
      <c r="L13" s="97">
        <f t="shared" si="2"/>
        <v>7717177</v>
      </c>
      <c r="M13" s="110">
        <v>2607454</v>
      </c>
      <c r="N13" s="78">
        <v>9241064</v>
      </c>
      <c r="O13" s="97">
        <f t="shared" si="3"/>
        <v>11848518</v>
      </c>
      <c r="P13" s="77">
        <v>53377.626842639991</v>
      </c>
      <c r="Q13" s="78">
        <v>1942596.1106289898</v>
      </c>
      <c r="R13" s="18"/>
      <c r="S13" s="18">
        <f>'2014 RAW DATA'!L13</f>
        <v>7175617.6749599986</v>
      </c>
      <c r="T13" s="18">
        <f>'2015 RAW DATA'!L13</f>
        <v>7645842.3692880012</v>
      </c>
      <c r="U13" s="18">
        <f>'2016 RAW DATA'!L13</f>
        <v>7928709.1403400013</v>
      </c>
      <c r="V13" s="73">
        <f t="shared" si="23"/>
        <v>2541073</v>
      </c>
      <c r="X13" s="18">
        <f>'2014 RAW DATA'!O13</f>
        <v>10800763.484931506</v>
      </c>
      <c r="Y13" s="18">
        <f>'2015 RAW DATA'!O13</f>
        <v>11420531.639244003</v>
      </c>
      <c r="Z13" s="18">
        <f>'2016 RAW DATA'!O13</f>
        <v>11919533.694017995</v>
      </c>
      <c r="AA13" s="90">
        <f t="shared" si="4"/>
        <v>11848518</v>
      </c>
      <c r="AC13" s="84">
        <f t="shared" si="5"/>
        <v>6.5530901398063168E-2</v>
      </c>
      <c r="AD13" s="84">
        <f t="shared" si="6"/>
        <v>3.6996155216098447E-2</v>
      </c>
      <c r="AE13" s="84">
        <f t="shared" si="7"/>
        <v>-0.67950987291595455</v>
      </c>
      <c r="AF13" s="84">
        <f t="shared" si="8"/>
        <v>-0.2922668076568965</v>
      </c>
      <c r="AG13" s="84">
        <v>0.05</v>
      </c>
      <c r="AI13" s="84">
        <f t="shared" si="9"/>
        <v>5.7381883713790716E-2</v>
      </c>
      <c r="AJ13" s="84">
        <f t="shared" si="10"/>
        <v>4.3693417306361448E-2</v>
      </c>
      <c r="AK13" s="84">
        <f t="shared" si="11"/>
        <v>-5.9579255230123307E-3</v>
      </c>
      <c r="AL13" s="84">
        <f t="shared" si="12"/>
        <v>3.1311330197929754E-2</v>
      </c>
      <c r="AM13" s="84">
        <v>7.0000000000000007E-2</v>
      </c>
      <c r="AO13" s="84">
        <f t="shared" si="13"/>
        <v>6.0634720578381263E-2</v>
      </c>
      <c r="AP13" s="84">
        <f t="shared" si="14"/>
        <v>4.1007735685669067E-2</v>
      </c>
      <c r="AQ13" s="84">
        <f t="shared" si="15"/>
        <v>-0.27501939994954516</v>
      </c>
      <c r="AR13" s="84">
        <f t="shared" si="16"/>
        <v>-7.1492785702653716E-2</v>
      </c>
    </row>
    <row r="14" spans="1:44" x14ac:dyDescent="0.35">
      <c r="A14" t="s">
        <v>80</v>
      </c>
      <c r="B14" s="76">
        <f>J14*365</f>
        <v>962505</v>
      </c>
      <c r="C14" s="76">
        <f t="shared" si="17"/>
        <v>926529140</v>
      </c>
      <c r="D14" s="76">
        <f t="shared" si="1"/>
        <v>927491645</v>
      </c>
      <c r="E14" s="4">
        <f t="shared" si="18"/>
        <v>0.99896224941196099</v>
      </c>
      <c r="F14" s="76">
        <f t="shared" si="19"/>
        <v>56940000</v>
      </c>
      <c r="G14" s="76">
        <f t="shared" si="20"/>
        <v>330289960</v>
      </c>
      <c r="H14" s="76">
        <f t="shared" si="21"/>
        <v>387229960</v>
      </c>
      <c r="I14" s="4">
        <f t="shared" si="22"/>
        <v>0.85295559258896192</v>
      </c>
      <c r="J14" s="110">
        <v>2637</v>
      </c>
      <c r="K14" s="78">
        <v>2538436</v>
      </c>
      <c r="L14" s="97">
        <f t="shared" si="2"/>
        <v>2541073</v>
      </c>
      <c r="M14" s="110">
        <v>156000</v>
      </c>
      <c r="N14" s="78">
        <v>904904</v>
      </c>
      <c r="O14" s="97">
        <f t="shared" si="3"/>
        <v>1060904</v>
      </c>
      <c r="P14" s="77">
        <v>4407.2764160699999</v>
      </c>
      <c r="Q14" s="77">
        <v>299214.86591967003</v>
      </c>
      <c r="R14" s="18"/>
      <c r="S14" s="73">
        <v>0</v>
      </c>
      <c r="T14" s="73">
        <v>0</v>
      </c>
      <c r="U14" s="73">
        <v>0</v>
      </c>
      <c r="V14" s="73">
        <f t="shared" si="23"/>
        <v>5493711</v>
      </c>
      <c r="X14" s="18">
        <f>'2014 RAW DATA'!O14</f>
        <v>2681114.2671232875</v>
      </c>
      <c r="Y14" s="18">
        <f>'2015 RAW DATA'!O14</f>
        <v>2870039.7086159992</v>
      </c>
      <c r="Z14" s="18">
        <f>'2016 RAW DATA'!O14</f>
        <v>21763598.887349986</v>
      </c>
      <c r="AA14" s="90">
        <f t="shared" si="4"/>
        <v>1060904</v>
      </c>
      <c r="AC14" s="84"/>
      <c r="AD14" s="84"/>
      <c r="AE14" s="84"/>
      <c r="AF14" s="84"/>
      <c r="AI14" s="84">
        <f t="shared" si="9"/>
        <v>7.0465270283097681E-2</v>
      </c>
      <c r="AJ14" s="84">
        <f t="shared" si="10"/>
        <v>6.5830305838677425</v>
      </c>
      <c r="AK14" s="84">
        <f t="shared" si="11"/>
        <v>-0.9512532828099195</v>
      </c>
      <c r="AL14" s="84">
        <f t="shared" si="12"/>
        <v>-0.26561950404311385</v>
      </c>
      <c r="AM14" s="84">
        <v>0.05</v>
      </c>
      <c r="AO14" s="84">
        <f t="shared" si="13"/>
        <v>7.0465270283097681E-2</v>
      </c>
      <c r="AP14" s="84">
        <f t="shared" si="14"/>
        <v>6.5830305838677425</v>
      </c>
      <c r="AQ14" s="84">
        <f t="shared" si="15"/>
        <v>-0.69882669525719632</v>
      </c>
      <c r="AR14" s="84">
        <f t="shared" si="16"/>
        <v>0.34709331274902122</v>
      </c>
    </row>
    <row r="15" spans="1:44" x14ac:dyDescent="0.35">
      <c r="A15" t="s">
        <v>81</v>
      </c>
      <c r="B15" s="76">
        <f>J15*365</f>
        <v>254122490</v>
      </c>
      <c r="C15" s="76">
        <f t="shared" si="17"/>
        <v>1751082025</v>
      </c>
      <c r="D15" s="76">
        <f t="shared" si="1"/>
        <v>2005204515</v>
      </c>
      <c r="E15" s="4">
        <f t="shared" si="18"/>
        <v>0.87326854288476408</v>
      </c>
      <c r="F15" s="76">
        <f t="shared" si="19"/>
        <v>456673035</v>
      </c>
      <c r="G15" s="76">
        <f t="shared" si="20"/>
        <v>2103819485</v>
      </c>
      <c r="H15" s="76">
        <f t="shared" si="21"/>
        <v>2560492520</v>
      </c>
      <c r="I15" s="4">
        <f t="shared" si="22"/>
        <v>0.82164640926191812</v>
      </c>
      <c r="J15" s="110">
        <v>696226</v>
      </c>
      <c r="K15" s="78">
        <v>4797485</v>
      </c>
      <c r="L15" s="97">
        <f t="shared" si="2"/>
        <v>5493711</v>
      </c>
      <c r="M15" s="110">
        <v>1251159</v>
      </c>
      <c r="N15" s="78">
        <v>5763889</v>
      </c>
      <c r="O15" s="97">
        <f t="shared" si="3"/>
        <v>7015048</v>
      </c>
      <c r="P15" s="77">
        <v>132682.46618774999</v>
      </c>
      <c r="Q15" s="77">
        <v>1196255.2691758804</v>
      </c>
      <c r="R15" s="18"/>
      <c r="S15" s="73">
        <v>0</v>
      </c>
      <c r="T15" s="73">
        <v>0</v>
      </c>
      <c r="U15" s="73">
        <v>0</v>
      </c>
      <c r="V15" s="73">
        <f t="shared" si="23"/>
        <v>101267063</v>
      </c>
      <c r="X15" s="18">
        <f>'2014 RAW DATA'!O15</f>
        <v>11440916.167123288</v>
      </c>
      <c r="Y15" s="18">
        <f>'2015 RAW DATA'!O15</f>
        <v>12228540.570852002</v>
      </c>
      <c r="Z15" s="92">
        <f>'2016 RAW DATA'!O15</f>
        <v>34804.717750191776</v>
      </c>
      <c r="AA15" s="90">
        <f t="shared" si="4"/>
        <v>7015048</v>
      </c>
      <c r="AC15" s="84"/>
      <c r="AD15" s="84"/>
      <c r="AE15" s="84"/>
      <c r="AF15" s="84"/>
      <c r="AI15" s="84">
        <f t="shared" si="9"/>
        <v>6.8842773797437529E-2</v>
      </c>
      <c r="AJ15" s="84">
        <f t="shared" si="10"/>
        <v>-0.99715381262804559</v>
      </c>
      <c r="AK15" s="84">
        <f t="shared" si="11"/>
        <v>200.55451483186778</v>
      </c>
      <c r="AL15" s="84">
        <f t="shared" si="12"/>
        <v>-0.15030950917831087</v>
      </c>
      <c r="AM15" s="84">
        <v>0.05</v>
      </c>
      <c r="AO15" s="84">
        <f t="shared" si="13"/>
        <v>6.8842773797437529E-2</v>
      </c>
      <c r="AP15" s="84">
        <f t="shared" si="14"/>
        <v>-0.99715381262804559</v>
      </c>
      <c r="AQ15" s="84">
        <f t="shared" si="15"/>
        <v>3110.1331451439041</v>
      </c>
      <c r="AR15" s="84">
        <f t="shared" si="16"/>
        <v>1.115109067115799</v>
      </c>
    </row>
    <row r="16" spans="1:44" x14ac:dyDescent="0.35">
      <c r="A16" t="s">
        <v>82</v>
      </c>
      <c r="B16" s="76">
        <f>J16*365</f>
        <v>13853964455</v>
      </c>
      <c r="C16" s="76">
        <f t="shared" si="17"/>
        <v>23108513540</v>
      </c>
      <c r="D16" s="76">
        <f t="shared" si="1"/>
        <v>36962477995</v>
      </c>
      <c r="E16" s="4">
        <f t="shared" si="18"/>
        <v>0.62518842873916469</v>
      </c>
      <c r="F16" s="76">
        <f t="shared" si="19"/>
        <v>7816974685</v>
      </c>
      <c r="G16" s="76">
        <f t="shared" si="20"/>
        <v>21361514770</v>
      </c>
      <c r="H16" s="76">
        <f t="shared" si="21"/>
        <v>29178489455</v>
      </c>
      <c r="I16" s="4">
        <f t="shared" si="22"/>
        <v>0.73209803416809538</v>
      </c>
      <c r="J16" s="110">
        <v>37956067</v>
      </c>
      <c r="K16" s="78">
        <v>63310996</v>
      </c>
      <c r="L16" s="97">
        <f t="shared" si="2"/>
        <v>101267063</v>
      </c>
      <c r="M16" s="110">
        <v>21416369</v>
      </c>
      <c r="N16" s="78">
        <v>58524698</v>
      </c>
      <c r="O16" s="97">
        <f t="shared" si="3"/>
        <v>79941067</v>
      </c>
      <c r="P16" s="77">
        <v>6950974.43276121</v>
      </c>
      <c r="Q16" s="77">
        <v>9521845.7597437259</v>
      </c>
      <c r="R16" s="18"/>
      <c r="S16" s="18">
        <f>'2014 RAW DATA'!L16</f>
        <v>51930228.314087987</v>
      </c>
      <c r="T16" s="18">
        <f>'2015 RAW DATA'!L16</f>
        <v>55348576.037094012</v>
      </c>
      <c r="U16" s="18">
        <f>'2016 RAW DATA'!L16</f>
        <v>57399026.100203998</v>
      </c>
      <c r="V16" s="90">
        <f t="shared" si="23"/>
        <v>4575182</v>
      </c>
      <c r="X16" s="18">
        <f>'2014 RAW DATA'!O16</f>
        <v>92248136.326027393</v>
      </c>
      <c r="Y16" s="18">
        <f>'2015 RAW DATA'!O16</f>
        <v>95979296.790606052</v>
      </c>
      <c r="Z16" s="18">
        <f>'2016 RAW DATA'!O16</f>
        <v>107473534.48324198</v>
      </c>
      <c r="AA16" s="90">
        <f t="shared" si="4"/>
        <v>79941067</v>
      </c>
      <c r="AC16" s="84">
        <f t="shared" si="5"/>
        <v>6.5825778818666913E-2</v>
      </c>
      <c r="AD16" s="84">
        <f t="shared" si="6"/>
        <v>3.7046121326333559E-2</v>
      </c>
      <c r="AE16" s="84">
        <f t="shared" si="7"/>
        <v>-0.92029164411234254</v>
      </c>
      <c r="AF16" s="84">
        <f t="shared" si="8"/>
        <v>-0.55467092400738349</v>
      </c>
      <c r="AG16" s="84">
        <v>0.06</v>
      </c>
      <c r="AI16" s="84">
        <f t="shared" si="9"/>
        <v>4.0447001025493146E-2</v>
      </c>
      <c r="AJ16" s="84">
        <f t="shared" si="10"/>
        <v>0.11975746933958487</v>
      </c>
      <c r="AK16" s="84">
        <f t="shared" si="11"/>
        <v>-0.25617904552618054</v>
      </c>
      <c r="AL16" s="84">
        <f t="shared" si="12"/>
        <v>-4.6564081112989375E-2</v>
      </c>
      <c r="AM16" s="84">
        <v>0.05</v>
      </c>
      <c r="AO16" s="84">
        <f t="shared" si="13"/>
        <v>4.9587940641653283E-2</v>
      </c>
      <c r="AP16" s="84">
        <f t="shared" si="14"/>
        <v>8.9505571595311473E-2</v>
      </c>
      <c r="AQ16" s="84">
        <f t="shared" si="15"/>
        <v>-0.48738438524326611</v>
      </c>
      <c r="AR16" s="84">
        <f t="shared" si="16"/>
        <v>-0.1630726284933407</v>
      </c>
    </row>
    <row r="17" spans="1:44" x14ac:dyDescent="0.35">
      <c r="A17" t="s">
        <v>83</v>
      </c>
      <c r="B17" s="76"/>
      <c r="C17" s="76">
        <f t="shared" si="17"/>
        <v>1669941430</v>
      </c>
      <c r="D17" s="76">
        <f t="shared" si="1"/>
        <v>1669941430</v>
      </c>
      <c r="E17" s="4">
        <f t="shared" si="18"/>
        <v>1</v>
      </c>
      <c r="F17" s="76">
        <f t="shared" si="19"/>
        <v>53850275</v>
      </c>
      <c r="G17" s="76">
        <f t="shared" si="20"/>
        <v>1582680515</v>
      </c>
      <c r="H17" s="76">
        <f t="shared" si="21"/>
        <v>1636530790</v>
      </c>
      <c r="I17" s="4">
        <f t="shared" si="22"/>
        <v>0.96709485985289645</v>
      </c>
      <c r="J17" s="110"/>
      <c r="K17" s="78">
        <v>4575182</v>
      </c>
      <c r="L17" s="97">
        <f t="shared" si="2"/>
        <v>4575182</v>
      </c>
      <c r="M17" s="110">
        <v>147535</v>
      </c>
      <c r="N17" s="78">
        <v>4336111</v>
      </c>
      <c r="O17" s="97">
        <f t="shared" si="3"/>
        <v>4483646</v>
      </c>
      <c r="P17" s="82">
        <v>0</v>
      </c>
      <c r="Q17" s="77">
        <v>41074.943065320011</v>
      </c>
      <c r="R17" s="18"/>
      <c r="S17" s="18">
        <f>'2014 RAW DATA'!L17</f>
        <v>4193475.8450340005</v>
      </c>
      <c r="T17" s="18">
        <f>'2015 RAW DATA'!L17</f>
        <v>4470495.3342540013</v>
      </c>
      <c r="U17" s="18">
        <f>'2016 RAW DATA'!L17</f>
        <v>4605898.614930002</v>
      </c>
      <c r="V17" s="73">
        <f t="shared" si="23"/>
        <v>1137869</v>
      </c>
      <c r="X17" s="18">
        <f>'2014 RAW DATA'!O17</f>
        <v>4529934.0065753423</v>
      </c>
      <c r="Y17" s="18">
        <f>'2015 RAW DATA'!O17</f>
        <v>4508876.1792599978</v>
      </c>
      <c r="Z17" s="18">
        <f>'2016 RAW DATA'!O17</f>
        <v>5638869.4944299981</v>
      </c>
      <c r="AA17" s="90">
        <f t="shared" si="4"/>
        <v>4483646</v>
      </c>
      <c r="AC17" s="84">
        <f t="shared" si="5"/>
        <v>6.6059636315314085E-2</v>
      </c>
      <c r="AD17" s="84">
        <f t="shared" si="6"/>
        <v>3.0288205344608743E-2</v>
      </c>
      <c r="AE17" s="84">
        <f t="shared" si="7"/>
        <v>-0.75295396292232697</v>
      </c>
      <c r="AF17" s="84">
        <f t="shared" si="8"/>
        <v>-0.35231843789424167</v>
      </c>
      <c r="AG17" s="84">
        <v>0.04</v>
      </c>
      <c r="AI17" s="84">
        <f t="shared" si="9"/>
        <v>-4.6485947223023905E-3</v>
      </c>
      <c r="AJ17" s="84">
        <f t="shared" si="10"/>
        <v>0.25061529087176138</v>
      </c>
      <c r="AK17" s="84">
        <f t="shared" si="11"/>
        <v>-0.20486792531217701</v>
      </c>
      <c r="AL17" s="84">
        <f t="shared" si="12"/>
        <v>-3.4143397609120996E-3</v>
      </c>
      <c r="AM17" s="84">
        <v>0.04</v>
      </c>
      <c r="AO17" s="84">
        <f t="shared" si="13"/>
        <v>2.9341927784974686E-2</v>
      </c>
      <c r="AP17" s="84">
        <f t="shared" si="14"/>
        <v>0.14092262403238043</v>
      </c>
      <c r="AQ17" s="84">
        <f t="shared" si="15"/>
        <v>-0.4512794296569802</v>
      </c>
      <c r="AR17" s="84">
        <f t="shared" si="16"/>
        <v>-0.13623541585611176</v>
      </c>
    </row>
    <row r="18" spans="1:44" x14ac:dyDescent="0.35">
      <c r="A18" t="s">
        <v>84</v>
      </c>
      <c r="B18" s="76">
        <f>J18*365</f>
        <v>26047860</v>
      </c>
      <c r="C18" s="76">
        <f t="shared" si="17"/>
        <v>389274325</v>
      </c>
      <c r="D18" s="76">
        <f t="shared" si="1"/>
        <v>415322185</v>
      </c>
      <c r="E18" s="4">
        <f t="shared" si="18"/>
        <v>0.9372827627784921</v>
      </c>
      <c r="F18" s="76">
        <f t="shared" si="19"/>
        <v>96399055</v>
      </c>
      <c r="G18" s="76">
        <f t="shared" si="20"/>
        <v>796270860</v>
      </c>
      <c r="H18" s="76">
        <f t="shared" si="21"/>
        <v>892669915</v>
      </c>
      <c r="I18" s="4">
        <f t="shared" si="22"/>
        <v>0.89201041350206145</v>
      </c>
      <c r="J18" s="110">
        <v>71364</v>
      </c>
      <c r="K18" s="78">
        <v>1066505</v>
      </c>
      <c r="L18" s="97">
        <f t="shared" si="2"/>
        <v>1137869</v>
      </c>
      <c r="M18" s="110">
        <v>264107</v>
      </c>
      <c r="N18" s="78">
        <v>2181564</v>
      </c>
      <c r="O18" s="97">
        <f t="shared" si="3"/>
        <v>2445671</v>
      </c>
      <c r="P18" s="77">
        <v>8295.9807435000002</v>
      </c>
      <c r="Q18" s="77">
        <v>284332.93206180003</v>
      </c>
      <c r="R18" s="18"/>
      <c r="S18" s="18">
        <f>'2014 RAW DATA'!L18</f>
        <v>1713758.5548780002</v>
      </c>
      <c r="T18" s="18">
        <f>'2015 RAW DATA'!L18</f>
        <v>1828811.7428100002</v>
      </c>
      <c r="U18" s="18">
        <f>'2016 RAW DATA'!L18</f>
        <v>1896707.0978699997</v>
      </c>
      <c r="V18" s="73">
        <f t="shared" si="23"/>
        <v>1288987</v>
      </c>
      <c r="X18" s="18">
        <f>'2014 RAW DATA'!O18</f>
        <v>2343054.5334246578</v>
      </c>
      <c r="Y18" s="18">
        <f>'2015 RAW DATA'!O18</f>
        <v>2497303.807368001</v>
      </c>
      <c r="Z18" s="18">
        <f>'2016 RAW DATA'!O18</f>
        <v>2868502.2122520003</v>
      </c>
      <c r="AA18" s="90">
        <f t="shared" si="4"/>
        <v>2445671</v>
      </c>
      <c r="AC18" s="84">
        <f t="shared" si="5"/>
        <v>6.7135004288973787E-2</v>
      </c>
      <c r="AD18" s="84">
        <f t="shared" si="6"/>
        <v>3.7125393210608593E-2</v>
      </c>
      <c r="AE18" s="84">
        <f t="shared" si="7"/>
        <v>-0.32040798421246419</v>
      </c>
      <c r="AF18" s="84">
        <f t="shared" si="8"/>
        <v>-9.0489883224038503E-2</v>
      </c>
      <c r="AG18" s="84">
        <v>0.04</v>
      </c>
      <c r="AI18" s="84">
        <f t="shared" si="9"/>
        <v>6.5832558202514102E-2</v>
      </c>
      <c r="AJ18" s="84">
        <f t="shared" si="10"/>
        <v>0.14863966642297277</v>
      </c>
      <c r="AK18" s="84">
        <f t="shared" si="11"/>
        <v>-0.14740487577314587</v>
      </c>
      <c r="AL18" s="84">
        <f t="shared" si="12"/>
        <v>1.4376097776639174E-2</v>
      </c>
      <c r="AM18" s="84">
        <v>7.0000000000000007E-2</v>
      </c>
      <c r="AO18" s="84">
        <f t="shared" si="13"/>
        <v>6.6382763024464886E-2</v>
      </c>
      <c r="AP18" s="84">
        <f t="shared" si="14"/>
        <v>0.10149838922493237</v>
      </c>
      <c r="AQ18" s="84">
        <f t="shared" si="15"/>
        <v>-0.21626569643708171</v>
      </c>
      <c r="AR18" s="84">
        <f t="shared" si="16"/>
        <v>-2.7200935888878619E-2</v>
      </c>
    </row>
    <row r="19" spans="1:44" x14ac:dyDescent="0.35">
      <c r="A19" t="s">
        <v>85</v>
      </c>
      <c r="B19" s="76"/>
      <c r="C19" s="76">
        <f t="shared" si="17"/>
        <v>470480255</v>
      </c>
      <c r="D19" s="76">
        <f t="shared" si="1"/>
        <v>470480255</v>
      </c>
      <c r="E19" s="4">
        <f t="shared" si="18"/>
        <v>1</v>
      </c>
      <c r="F19" s="76">
        <f t="shared" si="19"/>
        <v>26167580</v>
      </c>
      <c r="G19" s="76">
        <f t="shared" si="20"/>
        <v>687493195</v>
      </c>
      <c r="H19" s="76">
        <f t="shared" si="21"/>
        <v>713660775</v>
      </c>
      <c r="I19" s="4">
        <f t="shared" si="22"/>
        <v>0.96333330776095971</v>
      </c>
      <c r="J19" s="110"/>
      <c r="K19" s="78">
        <v>1288987</v>
      </c>
      <c r="L19" s="97">
        <f t="shared" si="2"/>
        <v>1288987</v>
      </c>
      <c r="M19" s="110">
        <v>71692</v>
      </c>
      <c r="N19" s="78">
        <v>1883543</v>
      </c>
      <c r="O19" s="97">
        <f t="shared" si="3"/>
        <v>1955235</v>
      </c>
      <c r="P19" s="79">
        <v>0</v>
      </c>
      <c r="Q19" s="80">
        <v>188138.22095595</v>
      </c>
      <c r="R19" s="18"/>
      <c r="S19" s="18">
        <f>'2014 RAW DATA'!L19</f>
        <v>3138748.233126</v>
      </c>
      <c r="T19" s="18">
        <f>'2015 RAW DATA'!L19</f>
        <v>3345940.4162280005</v>
      </c>
      <c r="U19" s="18">
        <f>'2016 RAW DATA'!L19</f>
        <v>3469676.9001599993</v>
      </c>
      <c r="V19" s="73">
        <f t="shared" si="23"/>
        <v>873695</v>
      </c>
      <c r="X19" s="18">
        <f>'2014 RAW DATA'!O19</f>
        <v>4243368.2147945203</v>
      </c>
      <c r="Y19" s="18">
        <f>'2015 RAW DATA'!O19</f>
        <v>4496241.1323720003</v>
      </c>
      <c r="Z19" s="18">
        <f>'2016 RAW DATA'!O19</f>
        <v>5889501.0101700015</v>
      </c>
      <c r="AA19" s="90">
        <f t="shared" si="4"/>
        <v>1955235</v>
      </c>
      <c r="AC19" s="84">
        <f t="shared" si="5"/>
        <v>6.6011087131907287E-2</v>
      </c>
      <c r="AD19" s="84">
        <f t="shared" si="6"/>
        <v>3.698107812436513E-2</v>
      </c>
      <c r="AE19" s="84">
        <f t="shared" si="7"/>
        <v>-0.74819125090301331</v>
      </c>
      <c r="AF19" s="84">
        <f t="shared" si="8"/>
        <v>-0.34678985385024574</v>
      </c>
      <c r="AG19" s="84">
        <v>0.05</v>
      </c>
      <c r="AI19" s="84">
        <f t="shared" si="9"/>
        <v>5.9592499348945838E-2</v>
      </c>
      <c r="AJ19" s="84">
        <f t="shared" si="10"/>
        <v>0.30987214359274917</v>
      </c>
      <c r="AK19" s="84">
        <f t="shared" si="11"/>
        <v>-0.66801347064484817</v>
      </c>
      <c r="AL19" s="84">
        <f t="shared" si="12"/>
        <v>-0.22742333735540698</v>
      </c>
      <c r="AM19" s="84">
        <v>0.05</v>
      </c>
      <c r="AO19" s="84">
        <f t="shared" si="13"/>
        <v>6.2321571858850566E-2</v>
      </c>
      <c r="AP19" s="84">
        <f t="shared" si="14"/>
        <v>0.19344060735253144</v>
      </c>
      <c r="AQ19" s="84">
        <f t="shared" si="15"/>
        <v>-0.69773734113146557</v>
      </c>
      <c r="AR19" s="84">
        <f t="shared" si="16"/>
        <v>-0.27362483265000259</v>
      </c>
    </row>
    <row r="20" spans="1:44" x14ac:dyDescent="0.35">
      <c r="A20" t="s">
        <v>86</v>
      </c>
      <c r="B20" s="76"/>
      <c r="C20" s="76">
        <f t="shared" si="17"/>
        <v>318898675</v>
      </c>
      <c r="D20" s="76">
        <f t="shared" si="1"/>
        <v>318898675</v>
      </c>
      <c r="E20" s="4">
        <f t="shared" si="18"/>
        <v>1</v>
      </c>
      <c r="F20" s="76">
        <f t="shared" si="19"/>
        <v>53850275</v>
      </c>
      <c r="G20" s="76">
        <f t="shared" si="20"/>
        <v>981270380</v>
      </c>
      <c r="H20" s="76">
        <f t="shared" si="21"/>
        <v>1035120655</v>
      </c>
      <c r="I20" s="4">
        <f t="shared" si="22"/>
        <v>0.94797681338896667</v>
      </c>
      <c r="J20" s="110"/>
      <c r="K20" s="78">
        <v>873695</v>
      </c>
      <c r="L20" s="97">
        <f t="shared" si="2"/>
        <v>873695</v>
      </c>
      <c r="M20" s="110">
        <v>147535</v>
      </c>
      <c r="N20" s="78">
        <v>2688412</v>
      </c>
      <c r="O20" s="97">
        <f t="shared" si="3"/>
        <v>2835947</v>
      </c>
      <c r="P20" s="77">
        <v>1777.1059497900003</v>
      </c>
      <c r="Q20" s="78">
        <v>164223.66107601</v>
      </c>
      <c r="R20" s="18"/>
      <c r="S20" s="18">
        <f>'2014 RAW DATA'!L20</f>
        <v>849136.99040399981</v>
      </c>
      <c r="T20" s="18">
        <f>'2015 RAW DATA'!L20</f>
        <v>905163.86340600008</v>
      </c>
      <c r="U20" s="18">
        <f>'2016 RAW DATA'!L20</f>
        <v>938690.42317800014</v>
      </c>
      <c r="V20" s="73">
        <f t="shared" si="23"/>
        <v>3150478</v>
      </c>
      <c r="X20" s="18">
        <f>'2014 RAW DATA'!O20</f>
        <v>2956252.3158904109</v>
      </c>
      <c r="Y20" s="18">
        <f>'2015 RAW DATA'!O20</f>
        <v>3125100.3818280012</v>
      </c>
      <c r="Z20" s="18">
        <f>'2016 RAW DATA'!O20</f>
        <v>3240404.1850920008</v>
      </c>
      <c r="AA20" s="73">
        <f t="shared" si="4"/>
        <v>2835947</v>
      </c>
      <c r="AC20" s="84">
        <f t="shared" si="5"/>
        <v>6.5980959062146072E-2</v>
      </c>
      <c r="AD20" s="84">
        <f t="shared" si="6"/>
        <v>3.7039215911519596E-2</v>
      </c>
      <c r="AE20" s="84">
        <f t="shared" si="7"/>
        <v>2.3562481540334064</v>
      </c>
      <c r="AF20" s="84">
        <f t="shared" si="8"/>
        <v>0.54742555278609717</v>
      </c>
      <c r="AG20" s="84">
        <v>0.06</v>
      </c>
      <c r="AI20" s="84">
        <f t="shared" si="9"/>
        <v>5.7115580097815144E-2</v>
      </c>
      <c r="AJ20" s="84">
        <f t="shared" si="10"/>
        <v>3.6896031863320022E-2</v>
      </c>
      <c r="AK20" s="84">
        <f t="shared" si="11"/>
        <v>-0.12481689381613903</v>
      </c>
      <c r="AL20" s="84">
        <f t="shared" si="12"/>
        <v>-1.3739700057883053E-2</v>
      </c>
      <c r="AM20" s="84">
        <v>0.06</v>
      </c>
      <c r="AO20" s="84">
        <f t="shared" si="13"/>
        <v>5.9093806399158844E-2</v>
      </c>
      <c r="AP20" s="84">
        <f t="shared" si="14"/>
        <v>3.6928189810878864E-2</v>
      </c>
      <c r="AQ20" s="84">
        <f t="shared" si="15"/>
        <v>0.43246936505181699</v>
      </c>
      <c r="AR20" s="84">
        <f t="shared" si="16"/>
        <v>0.16300859739577378</v>
      </c>
    </row>
    <row r="21" spans="1:44" x14ac:dyDescent="0.35">
      <c r="A21" t="s">
        <v>87</v>
      </c>
      <c r="B21" s="76"/>
      <c r="C21" s="76">
        <f t="shared" si="17"/>
        <v>1149924470</v>
      </c>
      <c r="D21" s="76">
        <f t="shared" si="1"/>
        <v>1149924470</v>
      </c>
      <c r="E21" s="4">
        <f t="shared" si="18"/>
        <v>1</v>
      </c>
      <c r="F21" s="76">
        <f t="shared" si="19"/>
        <v>57981345</v>
      </c>
      <c r="G21" s="76">
        <f t="shared" si="20"/>
        <v>1652611230</v>
      </c>
      <c r="H21" s="76">
        <f t="shared" si="21"/>
        <v>1710592575</v>
      </c>
      <c r="I21" s="4">
        <f t="shared" si="22"/>
        <v>0.96610452667257718</v>
      </c>
      <c r="J21" s="110"/>
      <c r="K21" s="78">
        <v>3150478</v>
      </c>
      <c r="L21" s="97">
        <f t="shared" si="2"/>
        <v>3150478</v>
      </c>
      <c r="M21" s="110">
        <v>158853</v>
      </c>
      <c r="N21" s="78">
        <v>4527702</v>
      </c>
      <c r="O21" s="97">
        <f t="shared" si="3"/>
        <v>4686555</v>
      </c>
      <c r="P21" s="77">
        <v>345.13719071000003</v>
      </c>
      <c r="Q21" s="78">
        <v>129740.63933811001</v>
      </c>
      <c r="R21" s="18"/>
      <c r="S21" s="18">
        <f>'2014 RAW DATA'!L21</f>
        <v>2729679.0838980004</v>
      </c>
      <c r="T21" s="18">
        <f>'2015 RAW DATA'!L21</f>
        <v>2937492.159552</v>
      </c>
      <c r="U21" s="18">
        <f>'2016 RAW DATA'!L21</f>
        <v>3046248.962952001</v>
      </c>
      <c r="V21" s="73">
        <f>L23</f>
        <v>36565816</v>
      </c>
      <c r="X21" s="18">
        <f>'2014 RAW DATA'!O21</f>
        <v>3584736.8287671236</v>
      </c>
      <c r="Y21" s="18">
        <f>'2015 RAW DATA'!O21</f>
        <v>3867691.9249140006</v>
      </c>
      <c r="Z21" s="18">
        <f>'2016 RAW DATA'!O21</f>
        <v>4242748.7413439984</v>
      </c>
      <c r="AA21" s="90">
        <f t="shared" si="4"/>
        <v>4686555</v>
      </c>
      <c r="AC21" s="84">
        <f t="shared" si="5"/>
        <v>7.6130955056167737E-2</v>
      </c>
      <c r="AD21" s="84">
        <f t="shared" si="6"/>
        <v>3.7023691466324671E-2</v>
      </c>
      <c r="AE21" s="84">
        <f t="shared" si="7"/>
        <v>11.003554681415631</v>
      </c>
      <c r="AF21" s="84">
        <f t="shared" si="8"/>
        <v>1.3728970948478763</v>
      </c>
      <c r="AG21" s="84">
        <v>0.06</v>
      </c>
      <c r="AI21" s="84">
        <f t="shared" si="9"/>
        <v>7.8933296825639543E-2</v>
      </c>
      <c r="AJ21" s="84">
        <f t="shared" si="10"/>
        <v>9.6971740177660859E-2</v>
      </c>
      <c r="AK21" s="84">
        <f t="shared" si="11"/>
        <v>0.1046034742362365</v>
      </c>
      <c r="AL21" s="84">
        <f t="shared" si="12"/>
        <v>9.3352027566739215E-2</v>
      </c>
      <c r="AM21" s="84">
        <v>7.0000000000000007E-2</v>
      </c>
      <c r="AO21" s="84">
        <f t="shared" si="13"/>
        <v>7.7721863524466306E-2</v>
      </c>
      <c r="AP21" s="84">
        <f t="shared" si="14"/>
        <v>7.1094861479851224E-2</v>
      </c>
      <c r="AQ21" s="84">
        <f t="shared" si="15"/>
        <v>4.659539579177892</v>
      </c>
      <c r="AR21" s="84">
        <f t="shared" si="16"/>
        <v>0.86929598437818445</v>
      </c>
    </row>
    <row r="22" spans="1:44" x14ac:dyDescent="0.35">
      <c r="A22" t="s">
        <v>88</v>
      </c>
      <c r="B22" s="76"/>
      <c r="C22" s="76"/>
      <c r="D22" s="76"/>
      <c r="E22" s="4"/>
      <c r="F22" s="76">
        <f t="shared" si="19"/>
        <v>2284170</v>
      </c>
      <c r="G22" s="76">
        <f t="shared" si="20"/>
        <v>609236830</v>
      </c>
      <c r="H22" s="76">
        <f t="shared" si="21"/>
        <v>611521000</v>
      </c>
      <c r="I22" s="4">
        <f t="shared" si="22"/>
        <v>0.99626477259161994</v>
      </c>
      <c r="J22" s="110"/>
      <c r="K22" s="76"/>
      <c r="L22" s="97"/>
      <c r="M22" s="110">
        <v>6258</v>
      </c>
      <c r="N22" s="78">
        <v>1669142</v>
      </c>
      <c r="O22" s="97">
        <f t="shared" si="3"/>
        <v>1675400</v>
      </c>
      <c r="P22" s="81" t="s">
        <v>507</v>
      </c>
      <c r="Q22" s="77">
        <v>77014.52122878001</v>
      </c>
      <c r="R22" s="18"/>
      <c r="S22" s="73">
        <v>0</v>
      </c>
      <c r="T22" s="73">
        <v>0</v>
      </c>
      <c r="U22" s="73">
        <v>0</v>
      </c>
      <c r="V22" s="73">
        <v>0</v>
      </c>
      <c r="X22" s="18">
        <f>'2014 RAW DATA'!O22</f>
        <v>2315856.8065753421</v>
      </c>
      <c r="Y22" s="18">
        <f>'2015 RAW DATA'!O22</f>
        <v>2409163.1571539994</v>
      </c>
      <c r="Z22" s="18">
        <f>'2016 RAW DATA'!O22</f>
        <v>2576943.1993380007</v>
      </c>
      <c r="AA22" s="90">
        <f t="shared" si="4"/>
        <v>1675400</v>
      </c>
      <c r="AC22" s="84"/>
      <c r="AD22" s="84"/>
      <c r="AE22" s="84"/>
      <c r="AF22" s="84"/>
      <c r="AI22" s="84">
        <f t="shared" si="9"/>
        <v>4.029020719836196E-2</v>
      </c>
      <c r="AJ22" s="84">
        <f t="shared" si="10"/>
        <v>6.9642457251506196E-2</v>
      </c>
      <c r="AK22" s="84">
        <f t="shared" si="11"/>
        <v>-0.34984985294576965</v>
      </c>
      <c r="AL22" s="84">
        <f t="shared" si="12"/>
        <v>-0.10219407493980615</v>
      </c>
      <c r="AM22" s="84">
        <v>0.06</v>
      </c>
      <c r="AO22" s="84">
        <f t="shared" si="13"/>
        <v>4.029020719836196E-2</v>
      </c>
      <c r="AP22" s="84">
        <f t="shared" si="14"/>
        <v>6.9642457251506196E-2</v>
      </c>
      <c r="AQ22" s="84">
        <f t="shared" si="15"/>
        <v>-0.34984985294576965</v>
      </c>
      <c r="AR22" s="84">
        <f t="shared" si="16"/>
        <v>-0.10228126412352856</v>
      </c>
    </row>
    <row r="23" spans="1:44" x14ac:dyDescent="0.35">
      <c r="A23" t="s">
        <v>233</v>
      </c>
      <c r="B23" s="76">
        <f>J23*365</f>
        <v>2654234375</v>
      </c>
      <c r="C23" s="76">
        <f t="shared" si="17"/>
        <v>10692288465</v>
      </c>
      <c r="D23" s="76">
        <f t="shared" ref="D23:D30" si="24">L23*365</f>
        <v>13346522840</v>
      </c>
      <c r="E23" s="4">
        <f t="shared" si="18"/>
        <v>0.80112914750760655</v>
      </c>
      <c r="F23" s="76">
        <f t="shared" si="19"/>
        <v>2339836150</v>
      </c>
      <c r="G23" s="76">
        <f t="shared" si="20"/>
        <v>6926717055</v>
      </c>
      <c r="H23" s="76">
        <f t="shared" si="21"/>
        <v>9266553205</v>
      </c>
      <c r="I23" s="4">
        <f t="shared" si="22"/>
        <v>0.74749660437524035</v>
      </c>
      <c r="J23" s="110">
        <v>7271875</v>
      </c>
      <c r="K23" s="78">
        <v>29293941</v>
      </c>
      <c r="L23" s="97">
        <f t="shared" si="2"/>
        <v>36565816</v>
      </c>
      <c r="M23" s="110">
        <v>6410510</v>
      </c>
      <c r="N23" s="78">
        <v>18977307</v>
      </c>
      <c r="O23" s="97">
        <f t="shared" si="3"/>
        <v>25387817</v>
      </c>
      <c r="P23" s="77">
        <v>1281769.4607011699</v>
      </c>
      <c r="Q23" s="78">
        <v>2823386.8351697098</v>
      </c>
      <c r="R23" s="18"/>
      <c r="S23" s="18">
        <f>'2014 RAW DATA'!L23</f>
        <v>32372759.633802004</v>
      </c>
      <c r="T23" s="18">
        <f>'2015 RAW DATA'!L23</f>
        <v>34265156.438993998</v>
      </c>
      <c r="U23" s="18">
        <f>'2016 RAW DATA'!L23</f>
        <v>35483471.337233983</v>
      </c>
      <c r="V23" s="73">
        <f>L24</f>
        <v>0</v>
      </c>
      <c r="X23" s="18">
        <f>'2014 RAW DATA'!O23</f>
        <v>24638166.594520546</v>
      </c>
      <c r="Y23" s="18">
        <f>'2015 RAW DATA'!O23</f>
        <v>26400883.340747982</v>
      </c>
      <c r="Z23" s="18">
        <f>'2016 RAW DATA'!O23</f>
        <v>29566868.414183959</v>
      </c>
      <c r="AA23" s="73">
        <f t="shared" si="4"/>
        <v>25387817</v>
      </c>
      <c r="AC23" s="84">
        <f t="shared" si="5"/>
        <v>5.8456456187196526E-2</v>
      </c>
      <c r="AD23" s="84">
        <f t="shared" si="6"/>
        <v>3.5555503749387096E-2</v>
      </c>
      <c r="AE23" s="84">
        <f t="shared" si="7"/>
        <v>-1</v>
      </c>
      <c r="AF23" s="84">
        <f t="shared" si="8"/>
        <v>-1</v>
      </c>
      <c r="AG23" s="84">
        <v>0.04</v>
      </c>
      <c r="AI23" s="84">
        <f t="shared" si="9"/>
        <v>7.1544152421611606E-2</v>
      </c>
      <c r="AJ23" s="84">
        <f t="shared" si="10"/>
        <v>0.11991966452688696</v>
      </c>
      <c r="AK23" s="84">
        <f t="shared" si="11"/>
        <v>-0.14134237537916472</v>
      </c>
      <c r="AL23" s="84">
        <f t="shared" si="12"/>
        <v>1.0030879483769795E-2</v>
      </c>
      <c r="AM23" s="84">
        <v>0.05</v>
      </c>
      <c r="AO23" s="84">
        <f t="shared" si="13"/>
        <v>6.4112509535121376E-2</v>
      </c>
      <c r="AP23" s="84">
        <f t="shared" si="14"/>
        <v>7.2269427633547156E-2</v>
      </c>
      <c r="AQ23" s="84">
        <f t="shared" si="15"/>
        <v>-0.60972045500428607</v>
      </c>
      <c r="AR23" s="84">
        <f t="shared" si="16"/>
        <v>-0.23633867171372491</v>
      </c>
    </row>
    <row r="24" spans="1:44" x14ac:dyDescent="0.35">
      <c r="A24" t="s">
        <v>90</v>
      </c>
      <c r="B24" s="76"/>
      <c r="C24" s="76"/>
      <c r="D24" s="76"/>
      <c r="E24" s="4"/>
      <c r="F24" s="76">
        <f t="shared" si="19"/>
        <v>1145735</v>
      </c>
      <c r="G24" s="76">
        <f t="shared" si="20"/>
        <v>1196904350</v>
      </c>
      <c r="H24" s="76">
        <f t="shared" si="21"/>
        <v>1198050085</v>
      </c>
      <c r="I24" s="4">
        <f t="shared" si="22"/>
        <v>0.99904366685972068</v>
      </c>
      <c r="J24" s="110"/>
      <c r="K24" s="76"/>
      <c r="L24" s="97"/>
      <c r="M24" s="110">
        <v>3139</v>
      </c>
      <c r="N24" s="78">
        <v>3279190</v>
      </c>
      <c r="O24" s="97">
        <f t="shared" si="3"/>
        <v>3282329</v>
      </c>
      <c r="P24" s="81" t="s">
        <v>507</v>
      </c>
      <c r="Q24" s="77">
        <v>38326.692543270001</v>
      </c>
      <c r="R24" s="18"/>
      <c r="S24" s="73">
        <v>0</v>
      </c>
      <c r="T24" s="73">
        <v>0</v>
      </c>
      <c r="U24" s="73">
        <v>0</v>
      </c>
      <c r="V24" s="73">
        <v>0</v>
      </c>
      <c r="X24" s="18">
        <f>'2014 RAW DATA'!O24</f>
        <v>3104326.6098356163</v>
      </c>
      <c r="Y24" s="18">
        <f>'2015 RAW DATA'!O24</f>
        <v>3365453.0464500007</v>
      </c>
      <c r="Z24" s="18">
        <f>'2016 RAW DATA'!O24</f>
        <v>3717540.0421440029</v>
      </c>
      <c r="AA24" s="73">
        <f t="shared" si="4"/>
        <v>3282329</v>
      </c>
      <c r="AC24" s="84"/>
      <c r="AD24" s="84"/>
      <c r="AE24" s="84"/>
      <c r="AF24" s="84"/>
      <c r="AI24" s="84">
        <f t="shared" si="9"/>
        <v>8.411693401945608E-2</v>
      </c>
      <c r="AJ24" s="84">
        <f t="shared" si="10"/>
        <v>0.10461800858145853</v>
      </c>
      <c r="AK24" s="84">
        <f t="shared" si="11"/>
        <v>-0.11706963131808135</v>
      </c>
      <c r="AL24" s="84">
        <f t="shared" si="12"/>
        <v>1.8740321662925608E-2</v>
      </c>
      <c r="AM24" s="84">
        <v>0.06</v>
      </c>
      <c r="AO24" s="84">
        <f t="shared" si="13"/>
        <v>8.411693401945608E-2</v>
      </c>
      <c r="AP24" s="84">
        <f t="shared" si="14"/>
        <v>0.10461800858145853</v>
      </c>
      <c r="AQ24" s="84">
        <f t="shared" si="15"/>
        <v>-0.11706963131808135</v>
      </c>
      <c r="AR24" s="84">
        <f t="shared" si="16"/>
        <v>1.8757362197085126E-2</v>
      </c>
    </row>
    <row r="25" spans="1:44" x14ac:dyDescent="0.35">
      <c r="A25" t="s">
        <v>91</v>
      </c>
      <c r="B25" s="76"/>
      <c r="C25" s="76">
        <f t="shared" si="17"/>
        <v>293426055</v>
      </c>
      <c r="D25" s="76">
        <f t="shared" si="24"/>
        <v>293426055</v>
      </c>
      <c r="E25" s="4">
        <f t="shared" si="18"/>
        <v>1</v>
      </c>
      <c r="F25" s="76">
        <f t="shared" si="19"/>
        <v>5859710</v>
      </c>
      <c r="G25" s="76">
        <f t="shared" si="20"/>
        <v>165164325</v>
      </c>
      <c r="H25" s="76">
        <f t="shared" si="21"/>
        <v>171024035</v>
      </c>
      <c r="I25" s="4">
        <f t="shared" si="22"/>
        <v>0.96573750584238061</v>
      </c>
      <c r="J25" s="110"/>
      <c r="K25" s="78">
        <v>803907</v>
      </c>
      <c r="L25" s="97">
        <f t="shared" si="2"/>
        <v>803907</v>
      </c>
      <c r="M25" s="110">
        <v>16054</v>
      </c>
      <c r="N25" s="78">
        <v>452505</v>
      </c>
      <c r="O25" s="97">
        <f t="shared" si="3"/>
        <v>468559</v>
      </c>
      <c r="P25" s="79">
        <v>0</v>
      </c>
      <c r="Q25" s="78">
        <v>24819.912739709998</v>
      </c>
      <c r="R25" s="18"/>
      <c r="S25" s="18">
        <f>'2014 RAW DATA'!L25</f>
        <v>2309224.859586</v>
      </c>
      <c r="T25" s="18">
        <f>'2015 RAW DATA'!L25</f>
        <v>2461614.3343319991</v>
      </c>
      <c r="U25" s="18">
        <f>'2016 RAW DATA'!L25</f>
        <v>2553170.4028800004</v>
      </c>
      <c r="V25" s="73">
        <f>L26</f>
        <v>1753085</v>
      </c>
      <c r="X25" s="18">
        <f>'2014 RAW DATA'!O25</f>
        <v>1390687.0673972603</v>
      </c>
      <c r="Y25" s="18">
        <f>'2015 RAW DATA'!O25</f>
        <v>1438040.0894099995</v>
      </c>
      <c r="Z25" s="18">
        <f>'2016 RAW DATA'!O25</f>
        <v>1765829.6511540003</v>
      </c>
      <c r="AA25" s="90">
        <f t="shared" si="4"/>
        <v>468559</v>
      </c>
      <c r="AC25" s="84">
        <f t="shared" si="5"/>
        <v>6.5991613641869229E-2</v>
      </c>
      <c r="AD25" s="84">
        <f t="shared" si="6"/>
        <v>3.7193506420186928E-2</v>
      </c>
      <c r="AE25" s="84">
        <f t="shared" si="7"/>
        <v>-0.31336937087218952</v>
      </c>
      <c r="AF25" s="84">
        <f t="shared" si="8"/>
        <v>-8.7669618329654919E-2</v>
      </c>
      <c r="AG25" s="84">
        <v>0.04</v>
      </c>
      <c r="AI25" s="84">
        <f t="shared" si="9"/>
        <v>3.4050091586285358E-2</v>
      </c>
      <c r="AJ25" s="84">
        <f t="shared" si="10"/>
        <v>0.2279418801728168</v>
      </c>
      <c r="AK25" s="84">
        <f t="shared" si="11"/>
        <v>-0.73465220742341231</v>
      </c>
      <c r="AL25" s="84">
        <f t="shared" si="12"/>
        <v>-0.30390404338274324</v>
      </c>
      <c r="AM25" s="84">
        <v>0.04</v>
      </c>
      <c r="AO25" s="84">
        <f t="shared" si="13"/>
        <v>5.3985743634065164E-2</v>
      </c>
      <c r="AP25" s="84">
        <f t="shared" si="14"/>
        <v>0.10753404910417919</v>
      </c>
      <c r="AQ25" s="84">
        <f t="shared" si="15"/>
        <v>-0.48561149057524167</v>
      </c>
      <c r="AR25" s="84">
        <f t="shared" si="16"/>
        <v>-0.15633814953649283</v>
      </c>
    </row>
    <row r="26" spans="1:44" x14ac:dyDescent="0.35">
      <c r="A26" t="s">
        <v>92</v>
      </c>
      <c r="B26" s="76"/>
      <c r="C26" s="76">
        <f t="shared" si="17"/>
        <v>639876025</v>
      </c>
      <c r="D26" s="76">
        <f t="shared" si="24"/>
        <v>639876025</v>
      </c>
      <c r="E26" s="4">
        <f t="shared" si="18"/>
        <v>1</v>
      </c>
      <c r="F26" s="76">
        <f t="shared" si="19"/>
        <v>54392665</v>
      </c>
      <c r="G26" s="76">
        <f t="shared" si="20"/>
        <v>1316814515</v>
      </c>
      <c r="H26" s="76">
        <f t="shared" si="21"/>
        <v>1371207180</v>
      </c>
      <c r="I26" s="4">
        <f t="shared" si="22"/>
        <v>0.96033227816091216</v>
      </c>
      <c r="J26" s="110"/>
      <c r="K26" s="78">
        <v>1753085</v>
      </c>
      <c r="L26" s="97">
        <f t="shared" si="2"/>
        <v>1753085</v>
      </c>
      <c r="M26" s="110">
        <v>149021</v>
      </c>
      <c r="N26" s="78">
        <v>3607711</v>
      </c>
      <c r="O26" s="97">
        <f t="shared" si="3"/>
        <v>3756732</v>
      </c>
      <c r="P26" s="79">
        <v>0</v>
      </c>
      <c r="Q26" s="77">
        <v>363395.59295552003</v>
      </c>
      <c r="R26" s="18"/>
      <c r="S26" s="18">
        <f>'2014 RAW DATA'!L26</f>
        <v>1643691.7377599997</v>
      </c>
      <c r="T26" s="18">
        <f>'2015 RAW DATA'!L26</f>
        <v>1680650.2169819998</v>
      </c>
      <c r="U26" s="18">
        <f>'2016 RAW DATA'!L26</f>
        <v>1742743.664016</v>
      </c>
      <c r="V26" s="73">
        <f>L27</f>
        <v>0</v>
      </c>
      <c r="X26" s="18">
        <f>'2014 RAW DATA'!O26</f>
        <v>5083213.2202739725</v>
      </c>
      <c r="Y26" s="18">
        <f>'2015 RAW DATA'!O26</f>
        <v>5174189.952858001</v>
      </c>
      <c r="Z26" s="18">
        <f>'2016 RAW DATA'!O26</f>
        <v>5720973.7362960009</v>
      </c>
      <c r="AA26" s="90">
        <f t="shared" si="4"/>
        <v>3756732</v>
      </c>
      <c r="AC26" s="84">
        <f t="shared" si="5"/>
        <v>2.2485042890321161E-2</v>
      </c>
      <c r="AD26" s="84">
        <f t="shared" si="6"/>
        <v>3.6946085750968249E-2</v>
      </c>
      <c r="AE26" s="84">
        <f t="shared" si="7"/>
        <v>-1</v>
      </c>
      <c r="AF26" s="84">
        <f t="shared" si="8"/>
        <v>-1</v>
      </c>
      <c r="AG26" s="84">
        <v>0.04</v>
      </c>
      <c r="AI26" s="84">
        <f t="shared" si="9"/>
        <v>1.7897485043746553E-2</v>
      </c>
      <c r="AJ26" s="84">
        <f t="shared" si="10"/>
        <v>0.10567524354918212</v>
      </c>
      <c r="AK26" s="84">
        <f t="shared" si="11"/>
        <v>-0.34334045685861403</v>
      </c>
      <c r="AL26" s="84">
        <f t="shared" si="12"/>
        <v>-9.5793263157820996E-2</v>
      </c>
      <c r="AM26" s="84">
        <v>0.04</v>
      </c>
      <c r="AO26" s="84">
        <f t="shared" si="13"/>
        <v>1.9018436057021137E-2</v>
      </c>
      <c r="AP26" s="84">
        <f t="shared" si="14"/>
        <v>8.882442411289837E-2</v>
      </c>
      <c r="AQ26" s="84">
        <f t="shared" si="15"/>
        <v>-0.4966674381531434</v>
      </c>
      <c r="AR26" s="84">
        <f t="shared" si="16"/>
        <v>-0.1764814093624949</v>
      </c>
    </row>
    <row r="27" spans="1:44" x14ac:dyDescent="0.35">
      <c r="A27" t="s">
        <v>93</v>
      </c>
      <c r="B27" s="76"/>
      <c r="C27" s="76"/>
      <c r="D27" s="76"/>
      <c r="E27" s="4"/>
      <c r="F27" s="76">
        <f t="shared" si="19"/>
        <v>24032695</v>
      </c>
      <c r="G27" s="76">
        <f t="shared" si="20"/>
        <v>1203567790</v>
      </c>
      <c r="H27" s="76">
        <f t="shared" si="21"/>
        <v>1227600485</v>
      </c>
      <c r="I27" s="4">
        <f t="shared" si="22"/>
        <v>0.98042303233531225</v>
      </c>
      <c r="J27" s="110"/>
      <c r="K27" s="76"/>
      <c r="L27" s="97"/>
      <c r="M27" s="110">
        <v>65843</v>
      </c>
      <c r="N27" s="78">
        <v>3297446</v>
      </c>
      <c r="O27" s="97">
        <f t="shared" si="3"/>
        <v>3363289</v>
      </c>
      <c r="P27" s="81" t="s">
        <v>507</v>
      </c>
      <c r="Q27" s="77">
        <v>111047.46744312</v>
      </c>
      <c r="R27" s="18"/>
      <c r="S27" s="73">
        <v>0</v>
      </c>
      <c r="T27" s="73">
        <v>0</v>
      </c>
      <c r="U27" s="73">
        <v>0</v>
      </c>
      <c r="V27" s="73">
        <v>0</v>
      </c>
      <c r="X27" s="18">
        <f>'2014 RAW DATA'!O27</f>
        <v>2755462.3312328765</v>
      </c>
      <c r="Y27" s="18">
        <f>'2015 RAW DATA'!O27</f>
        <v>2968120.8660780005</v>
      </c>
      <c r="Z27" s="18">
        <f>'2016 RAW DATA'!O27</f>
        <v>3052556.9574599992</v>
      </c>
      <c r="AA27" s="73">
        <f t="shared" si="4"/>
        <v>3363289</v>
      </c>
      <c r="AC27" s="84"/>
      <c r="AD27" s="84"/>
      <c r="AE27" s="84"/>
      <c r="AF27" s="84"/>
      <c r="AI27" s="84">
        <f t="shared" si="9"/>
        <v>7.7177079299782791E-2</v>
      </c>
      <c r="AJ27" s="84">
        <f t="shared" si="10"/>
        <v>2.8447659374993828E-2</v>
      </c>
      <c r="AK27" s="84">
        <f t="shared" si="11"/>
        <v>0.10179401952865041</v>
      </c>
      <c r="AL27" s="84">
        <f t="shared" si="12"/>
        <v>6.863086326747192E-2</v>
      </c>
      <c r="AM27" s="84">
        <v>0.04</v>
      </c>
      <c r="AO27" s="84">
        <f t="shared" si="13"/>
        <v>7.7177079299782791E-2</v>
      </c>
      <c r="AP27" s="84">
        <f t="shared" si="14"/>
        <v>2.8447659374993828E-2</v>
      </c>
      <c r="AQ27" s="84">
        <f t="shared" si="15"/>
        <v>0.10179401952865041</v>
      </c>
      <c r="AR27" s="84">
        <f t="shared" si="16"/>
        <v>6.8694769556203239E-2</v>
      </c>
    </row>
    <row r="28" spans="1:44" x14ac:dyDescent="0.35">
      <c r="A28" t="s">
        <v>94</v>
      </c>
      <c r="B28" s="76"/>
      <c r="C28" s="76">
        <f t="shared" si="17"/>
        <v>1908999275</v>
      </c>
      <c r="D28" s="76">
        <f t="shared" si="24"/>
        <v>1908999275</v>
      </c>
      <c r="E28" s="4">
        <f t="shared" si="18"/>
        <v>1</v>
      </c>
      <c r="F28" s="76">
        <f t="shared" si="19"/>
        <v>38594735</v>
      </c>
      <c r="G28" s="76">
        <f t="shared" si="20"/>
        <v>1082512620</v>
      </c>
      <c r="H28" s="76">
        <f t="shared" si="21"/>
        <v>1121107355</v>
      </c>
      <c r="I28" s="4">
        <f t="shared" si="22"/>
        <v>0.96557445205593184</v>
      </c>
      <c r="J28" s="110"/>
      <c r="K28" s="78">
        <v>5230135</v>
      </c>
      <c r="L28" s="97">
        <f t="shared" si="2"/>
        <v>5230135</v>
      </c>
      <c r="M28" s="110">
        <v>105739</v>
      </c>
      <c r="N28" s="78">
        <v>2965788</v>
      </c>
      <c r="O28" s="97">
        <f t="shared" si="3"/>
        <v>3071527</v>
      </c>
      <c r="P28" s="79">
        <v>0</v>
      </c>
      <c r="Q28" s="78">
        <v>101001.90370008003</v>
      </c>
      <c r="R28" s="18"/>
      <c r="S28" s="18">
        <f>'2014 RAW DATA'!L28</f>
        <v>4457571.7972799996</v>
      </c>
      <c r="T28" s="18">
        <f>'2015 RAW DATA'!L28</f>
        <v>4752565.5592320003</v>
      </c>
      <c r="U28" s="18">
        <f>'2016 RAW DATA'!L28</f>
        <v>4928859.6277800025</v>
      </c>
      <c r="V28" s="73">
        <f>L28</f>
        <v>5230135</v>
      </c>
      <c r="X28" s="18">
        <f>'2014 RAW DATA'!O28</f>
        <v>2324711.4671232877</v>
      </c>
      <c r="Y28" s="18">
        <f>'2015 RAW DATA'!O28</f>
        <v>2427808.008312</v>
      </c>
      <c r="Z28" s="18">
        <f>'2016 RAW DATA'!O28</f>
        <v>2538867.9386999998</v>
      </c>
      <c r="AA28" s="90">
        <f t="shared" si="4"/>
        <v>3071527</v>
      </c>
      <c r="AC28" s="84">
        <f t="shared" si="5"/>
        <v>6.6178129117741902E-2</v>
      </c>
      <c r="AD28" s="84">
        <f t="shared" si="6"/>
        <v>3.7094505346811246E-2</v>
      </c>
      <c r="AE28" s="84">
        <f t="shared" si="7"/>
        <v>6.1124762109667552E-2</v>
      </c>
      <c r="AF28" s="84">
        <f t="shared" si="8"/>
        <v>5.4666243407827997E-2</v>
      </c>
      <c r="AG28" s="84">
        <v>7.0000000000000007E-2</v>
      </c>
      <c r="AI28" s="84">
        <f t="shared" si="9"/>
        <v>4.4348101967376152E-2</v>
      </c>
      <c r="AJ28" s="84">
        <f t="shared" si="10"/>
        <v>4.5744939471229928E-2</v>
      </c>
      <c r="AK28" s="84">
        <f t="shared" si="11"/>
        <v>0.20980179913286179</v>
      </c>
      <c r="AL28" s="84">
        <f t="shared" si="12"/>
        <v>9.7205808502712543E-2</v>
      </c>
      <c r="AM28" s="84">
        <v>7.0000000000000007E-2</v>
      </c>
      <c r="AO28" s="84">
        <f t="shared" si="13"/>
        <v>5.8695617334369343E-2</v>
      </c>
      <c r="AP28" s="84">
        <f t="shared" si="14"/>
        <v>4.0019366155943592E-2</v>
      </c>
      <c r="AQ28" s="84">
        <f t="shared" si="15"/>
        <v>0.11167178048423132</v>
      </c>
      <c r="AR28" s="84">
        <f t="shared" si="16"/>
        <v>6.9695366646335577E-2</v>
      </c>
    </row>
    <row r="29" spans="1:44" x14ac:dyDescent="0.35">
      <c r="A29" t="s">
        <v>95</v>
      </c>
      <c r="B29" s="76"/>
      <c r="C29" s="76">
        <f t="shared" si="17"/>
        <v>260114695</v>
      </c>
      <c r="D29" s="76">
        <f t="shared" si="24"/>
        <v>260114695</v>
      </c>
      <c r="E29" s="4">
        <f t="shared" si="18"/>
        <v>1</v>
      </c>
      <c r="F29" s="76">
        <f t="shared" si="19"/>
        <v>1519130</v>
      </c>
      <c r="G29" s="76">
        <f t="shared" si="20"/>
        <v>474899675</v>
      </c>
      <c r="H29" s="76">
        <f t="shared" si="21"/>
        <v>476418805</v>
      </c>
      <c r="I29" s="4">
        <f t="shared" si="22"/>
        <v>0.99681135592454206</v>
      </c>
      <c r="J29" s="110"/>
      <c r="K29" s="78">
        <v>712643</v>
      </c>
      <c r="L29" s="97">
        <f t="shared" si="2"/>
        <v>712643</v>
      </c>
      <c r="M29" s="110">
        <v>4162</v>
      </c>
      <c r="N29" s="78">
        <v>1301095</v>
      </c>
      <c r="O29" s="97">
        <f t="shared" si="3"/>
        <v>1305257</v>
      </c>
      <c r="P29" s="79">
        <v>0</v>
      </c>
      <c r="Q29" s="78">
        <v>27518.67850215</v>
      </c>
      <c r="R29" s="18"/>
      <c r="S29" s="18">
        <f>'2014 RAW DATA'!L29</f>
        <v>472771.89981599979</v>
      </c>
      <c r="T29" s="18">
        <f>'2015 RAW DATA'!L29</f>
        <v>503917.47090599994</v>
      </c>
      <c r="U29" s="18">
        <f>'2016 RAW DATA'!L29</f>
        <v>522511.95236999996</v>
      </c>
      <c r="V29" s="73">
        <f>L29</f>
        <v>712643</v>
      </c>
      <c r="X29" s="18">
        <f>'2014 RAW DATA'!O29</f>
        <v>2289218.0335616441</v>
      </c>
      <c r="Y29" s="18">
        <f>'2015 RAW DATA'!O29</f>
        <v>2346175.9572059987</v>
      </c>
      <c r="Z29" s="18">
        <f>'2016 RAW DATA'!O29</f>
        <v>2471074.3299660003</v>
      </c>
      <c r="AA29" s="90">
        <f t="shared" si="4"/>
        <v>1305257</v>
      </c>
      <c r="AC29" s="84">
        <f t="shared" si="5"/>
        <v>6.587864274954125E-2</v>
      </c>
      <c r="AD29" s="84">
        <f t="shared" si="6"/>
        <v>3.6899854713448921E-2</v>
      </c>
      <c r="AE29" s="84">
        <f t="shared" si="7"/>
        <v>0.36387884864184872</v>
      </c>
      <c r="AF29" s="84">
        <f t="shared" si="8"/>
        <v>0.14642957858243322</v>
      </c>
      <c r="AG29" s="84">
        <v>0.05</v>
      </c>
      <c r="AI29" s="84">
        <f t="shared" si="9"/>
        <v>2.4880951840020815E-2</v>
      </c>
      <c r="AJ29" s="84">
        <f t="shared" si="10"/>
        <v>5.3234870290265857E-2</v>
      </c>
      <c r="AK29" s="84">
        <f t="shared" si="11"/>
        <v>-0.47178561803199215</v>
      </c>
      <c r="AL29" s="84">
        <f t="shared" si="12"/>
        <v>-0.17062497260855958</v>
      </c>
      <c r="AM29" s="84">
        <v>0.05</v>
      </c>
      <c r="AO29" s="84">
        <f t="shared" si="13"/>
        <v>3.1898557510893211E-2</v>
      </c>
      <c r="AP29" s="84">
        <f t="shared" si="14"/>
        <v>5.0346719447388777E-2</v>
      </c>
      <c r="AQ29" s="84">
        <f t="shared" si="15"/>
        <v>-0.32592555895019604</v>
      </c>
      <c r="AR29" s="84">
        <f t="shared" si="16"/>
        <v>-9.9334085933155292E-2</v>
      </c>
    </row>
    <row r="30" spans="1:44" x14ac:dyDescent="0.35">
      <c r="A30" t="s">
        <v>99</v>
      </c>
      <c r="B30" s="76"/>
      <c r="C30" s="76">
        <f t="shared" si="17"/>
        <v>21819366755</v>
      </c>
      <c r="D30" s="76">
        <f t="shared" si="24"/>
        <v>21831876035</v>
      </c>
      <c r="E30" s="4">
        <f t="shared" si="18"/>
        <v>0.99942701763330166</v>
      </c>
      <c r="F30" s="76">
        <f t="shared" si="19"/>
        <v>653114575</v>
      </c>
      <c r="G30" s="76">
        <f t="shared" si="20"/>
        <v>30013969345</v>
      </c>
      <c r="H30" s="76">
        <f t="shared" si="21"/>
        <v>30667083920</v>
      </c>
      <c r="I30" s="4">
        <f t="shared" si="22"/>
        <v>0.97870307536563461</v>
      </c>
      <c r="J30" s="98">
        <v>34272</v>
      </c>
      <c r="K30" s="76">
        <v>59779087</v>
      </c>
      <c r="L30" s="78">
        <f>+J30++K30</f>
        <v>59813359</v>
      </c>
      <c r="M30" s="110">
        <v>1789355</v>
      </c>
      <c r="N30" s="78">
        <v>82230053</v>
      </c>
      <c r="O30" s="97">
        <f t="shared" si="3"/>
        <v>84019408</v>
      </c>
      <c r="P30" s="77">
        <v>226785.66110594996</v>
      </c>
      <c r="Q30" s="77">
        <v>1596040.8901029308</v>
      </c>
      <c r="R30" s="18"/>
      <c r="S30" s="18">
        <f>'2014 RAW DATA'!L30</f>
        <v>45363976.746611953</v>
      </c>
      <c r="T30" s="18">
        <f>'2015 RAW DATA'!L30</f>
        <v>48275404.247825988</v>
      </c>
      <c r="U30" s="18">
        <f>'2016 RAW DATA'!L30</f>
        <v>50090207.010864072</v>
      </c>
      <c r="V30" s="73">
        <f>L30</f>
        <v>59813359</v>
      </c>
      <c r="X30" s="18">
        <f>'2014 RAW DATA'!O30</f>
        <v>90043356.854794532</v>
      </c>
      <c r="Y30" s="18">
        <f>'2015 RAW DATA'!O30</f>
        <v>91896597.566549942</v>
      </c>
      <c r="Z30" s="18">
        <f>'2016 RAW DATA'!O30</f>
        <v>109999771.76576994</v>
      </c>
      <c r="AA30" s="73">
        <f t="shared" si="4"/>
        <v>84019408</v>
      </c>
      <c r="AC30" s="84">
        <f t="shared" si="5"/>
        <v>6.4179282990913578E-2</v>
      </c>
      <c r="AD30" s="84">
        <f t="shared" si="6"/>
        <v>3.7592699456676426E-2</v>
      </c>
      <c r="AE30" s="84">
        <f t="shared" si="7"/>
        <v>0.19411283301398763</v>
      </c>
      <c r="AF30" s="84">
        <f t="shared" si="8"/>
        <v>9.6450412627909543E-2</v>
      </c>
      <c r="AG30" s="84">
        <v>0.04</v>
      </c>
      <c r="AI30" s="84">
        <f t="shared" si="9"/>
        <v>2.0581648402379971E-2</v>
      </c>
      <c r="AJ30" s="84">
        <f t="shared" si="10"/>
        <v>0.19699504310929461</v>
      </c>
      <c r="AK30" s="84">
        <f t="shared" si="11"/>
        <v>-0.23618561519465431</v>
      </c>
      <c r="AL30" s="84">
        <f t="shared" si="12"/>
        <v>-2.2794271999184157E-2</v>
      </c>
      <c r="AM30" s="84">
        <v>0.04</v>
      </c>
      <c r="AO30" s="84">
        <f t="shared" si="13"/>
        <v>3.5187667360728314E-2</v>
      </c>
      <c r="AP30" s="84">
        <f t="shared" si="14"/>
        <v>0.14209668624576421</v>
      </c>
      <c r="AQ30" s="84">
        <f t="shared" si="15"/>
        <v>-0.10155046493770181</v>
      </c>
      <c r="AR30" s="84">
        <f t="shared" si="16"/>
        <v>2.0322998311966822E-2</v>
      </c>
    </row>
    <row r="31" spans="1:44" x14ac:dyDescent="0.35">
      <c r="A31" t="s">
        <v>439</v>
      </c>
      <c r="B31" s="76">
        <f>J31*365</f>
        <v>26170730680</v>
      </c>
      <c r="C31" s="76">
        <f t="shared" si="17"/>
        <v>102155866390</v>
      </c>
      <c r="D31" s="76">
        <f>L31*365</f>
        <v>128326597070</v>
      </c>
      <c r="E31" s="4">
        <f t="shared" si="18"/>
        <v>0.79606152366275007</v>
      </c>
      <c r="F31" s="76">
        <f t="shared" si="19"/>
        <v>31152795260</v>
      </c>
      <c r="G31" s="76">
        <f t="shared" si="20"/>
        <v>127130920580</v>
      </c>
      <c r="H31" s="76">
        <f t="shared" si="21"/>
        <v>158283715840</v>
      </c>
      <c r="I31" s="4">
        <f t="shared" si="22"/>
        <v>0.80318382661997534</v>
      </c>
      <c r="J31" s="77">
        <f t="shared" ref="J31:Q31" si="25">SUM(J5:J30)</f>
        <v>71700632</v>
      </c>
      <c r="K31" s="77">
        <f t="shared" si="25"/>
        <v>279879086</v>
      </c>
      <c r="L31" s="77">
        <f t="shared" si="25"/>
        <v>351579718</v>
      </c>
      <c r="M31" s="109">
        <f t="shared" si="25"/>
        <v>85350124</v>
      </c>
      <c r="N31" s="77">
        <f t="shared" si="25"/>
        <v>348303892</v>
      </c>
      <c r="O31" s="77">
        <f t="shared" si="25"/>
        <v>433654016</v>
      </c>
      <c r="P31" s="77">
        <f t="shared" si="25"/>
        <v>15553996.17103615</v>
      </c>
      <c r="Q31" s="77">
        <f t="shared" si="25"/>
        <v>37801825.612662271</v>
      </c>
      <c r="T31" s="18"/>
      <c r="U31" s="18"/>
      <c r="V31" s="18"/>
      <c r="AI31" s="31"/>
      <c r="AJ31" s="31"/>
      <c r="AK31" s="31"/>
      <c r="AL31" s="31"/>
      <c r="AO31" s="84"/>
      <c r="AP31" s="84"/>
      <c r="AQ31" s="84"/>
      <c r="AR31" s="84"/>
    </row>
    <row r="32" spans="1:44" s="32" customFormat="1" x14ac:dyDescent="0.35">
      <c r="B32" s="40"/>
      <c r="C32" s="40"/>
      <c r="D32" s="40"/>
      <c r="E32" s="30"/>
      <c r="F32" s="40"/>
      <c r="G32" s="40"/>
      <c r="H32" s="29"/>
      <c r="I32" s="30"/>
      <c r="AG32" s="85"/>
      <c r="AI32" s="10"/>
      <c r="AM32" s="85"/>
    </row>
    <row r="33" spans="1:39" s="5" customFormat="1" ht="15" customHeight="1" x14ac:dyDescent="0.35">
      <c r="A33" s="674" t="s">
        <v>128</v>
      </c>
      <c r="B33" s="675" t="s">
        <v>508</v>
      </c>
      <c r="C33" s="675"/>
      <c r="D33" s="675"/>
      <c r="E33" s="28"/>
      <c r="F33" s="46"/>
      <c r="G33" s="6"/>
      <c r="H33" s="6"/>
      <c r="I33" s="159"/>
      <c r="J33" s="46"/>
      <c r="K33" s="51"/>
      <c r="L33" s="51"/>
      <c r="N33" s="51"/>
      <c r="O33" s="51"/>
      <c r="P33" s="52"/>
      <c r="Q33" s="52"/>
      <c r="R33" s="52"/>
      <c r="AG33" s="88"/>
      <c r="AM33" s="88"/>
    </row>
    <row r="34" spans="1:39" s="5" customFormat="1" ht="15" customHeight="1" x14ac:dyDescent="0.35">
      <c r="A34" s="674"/>
      <c r="B34" s="6" t="s">
        <v>194</v>
      </c>
      <c r="C34" s="6" t="s">
        <v>127</v>
      </c>
      <c r="D34" s="6" t="s">
        <v>441</v>
      </c>
      <c r="E34" s="28"/>
      <c r="F34" s="46"/>
      <c r="G34" s="6"/>
      <c r="H34" s="6"/>
      <c r="I34" s="159"/>
      <c r="J34" s="46"/>
      <c r="K34" s="51"/>
      <c r="L34" s="51"/>
      <c r="N34" s="51"/>
      <c r="O34" s="51"/>
      <c r="P34" s="52"/>
      <c r="Q34" s="52"/>
      <c r="R34" s="52"/>
      <c r="AG34" s="88"/>
      <c r="AM34" s="88"/>
    </row>
    <row r="35" spans="1:39" s="3" customFormat="1" ht="14.9" customHeight="1" x14ac:dyDescent="0.35">
      <c r="A35" t="s">
        <v>71</v>
      </c>
      <c r="B35" s="99">
        <v>40.9</v>
      </c>
      <c r="C35" s="99">
        <v>45.1</v>
      </c>
      <c r="D35" s="16">
        <f>C35/B35</f>
        <v>1.1026894865525674</v>
      </c>
      <c r="E35" s="99"/>
      <c r="F35" s="99"/>
      <c r="G35" s="13"/>
      <c r="H35" s="22"/>
      <c r="I35" s="13"/>
      <c r="J35" s="4"/>
      <c r="K35" s="25"/>
      <c r="L35" s="14"/>
      <c r="AG35" s="89"/>
      <c r="AM35" s="89"/>
    </row>
    <row r="36" spans="1:39" x14ac:dyDescent="0.35">
      <c r="A36" t="s">
        <v>72</v>
      </c>
      <c r="B36" s="99">
        <v>81.400000000000006</v>
      </c>
      <c r="C36" s="99">
        <v>96.5</v>
      </c>
      <c r="D36" s="16">
        <f t="shared" ref="D36:D60" si="26">C36/B36</f>
        <v>1.1855036855036853</v>
      </c>
      <c r="E36" s="99"/>
      <c r="F36" s="99"/>
      <c r="G36" s="13"/>
      <c r="H36" s="22"/>
      <c r="I36" s="13"/>
      <c r="J36" s="4"/>
      <c r="K36" s="26"/>
      <c r="L36" s="73"/>
    </row>
    <row r="37" spans="1:39" x14ac:dyDescent="0.35">
      <c r="A37" t="s">
        <v>73</v>
      </c>
      <c r="B37" s="99">
        <v>191.4</v>
      </c>
      <c r="C37" s="99">
        <v>341.8</v>
      </c>
      <c r="D37" s="16">
        <f t="shared" si="26"/>
        <v>1.7857889237199582</v>
      </c>
      <c r="E37" s="99"/>
      <c r="F37" s="99"/>
      <c r="G37" s="13"/>
      <c r="H37" s="22"/>
      <c r="I37" s="13"/>
      <c r="J37" s="4"/>
      <c r="L37" s="72"/>
    </row>
    <row r="38" spans="1:39" x14ac:dyDescent="0.35">
      <c r="A38" t="s">
        <v>74</v>
      </c>
      <c r="B38" s="99">
        <v>106.5</v>
      </c>
      <c r="C38" s="99">
        <v>133.5</v>
      </c>
      <c r="D38" s="16">
        <f t="shared" si="26"/>
        <v>1.2535211267605635</v>
      </c>
      <c r="E38" s="99"/>
      <c r="F38" s="99"/>
      <c r="G38" s="13"/>
      <c r="H38" s="22"/>
      <c r="I38" s="13"/>
      <c r="J38" s="4"/>
      <c r="L38" s="27"/>
    </row>
    <row r="39" spans="1:39" x14ac:dyDescent="0.35">
      <c r="A39" t="s">
        <v>75</v>
      </c>
      <c r="B39" s="99">
        <v>38.1</v>
      </c>
      <c r="C39" s="99">
        <v>52.5</v>
      </c>
      <c r="D39" s="16">
        <f t="shared" si="26"/>
        <v>1.3779527559055118</v>
      </c>
      <c r="E39" s="99"/>
      <c r="F39" s="99"/>
      <c r="G39" s="13"/>
      <c r="H39" s="22"/>
      <c r="I39" s="13"/>
      <c r="J39" s="4"/>
      <c r="L39" s="27"/>
    </row>
    <row r="40" spans="1:39" x14ac:dyDescent="0.35">
      <c r="A40" t="s">
        <v>76</v>
      </c>
      <c r="B40" s="99"/>
      <c r="C40" s="99"/>
      <c r="D40" s="16"/>
      <c r="E40" s="99"/>
      <c r="F40" s="99"/>
      <c r="G40" s="13"/>
      <c r="H40" s="22"/>
      <c r="I40" s="13"/>
      <c r="J40" s="4"/>
      <c r="L40" s="27"/>
    </row>
    <row r="41" spans="1:39" x14ac:dyDescent="0.35">
      <c r="A41" t="s">
        <v>77</v>
      </c>
      <c r="B41" s="99">
        <v>46.5</v>
      </c>
      <c r="C41" s="99">
        <v>53.7</v>
      </c>
      <c r="D41" s="16">
        <f t="shared" si="26"/>
        <v>1.1548387096774193</v>
      </c>
      <c r="E41" s="99"/>
      <c r="F41" s="99"/>
      <c r="G41" s="13"/>
      <c r="H41" s="22"/>
      <c r="I41" s="13"/>
      <c r="J41" s="4"/>
      <c r="L41" s="27"/>
    </row>
    <row r="42" spans="1:39" x14ac:dyDescent="0.35">
      <c r="A42" t="s">
        <v>78</v>
      </c>
      <c r="B42" s="99">
        <v>1110.4000000000001</v>
      </c>
      <c r="C42" s="99">
        <v>1930.2</v>
      </c>
      <c r="D42" s="16">
        <f t="shared" si="26"/>
        <v>1.7382925072046109</v>
      </c>
      <c r="E42" s="99"/>
      <c r="F42" s="99"/>
      <c r="G42" s="13"/>
      <c r="H42" s="22"/>
      <c r="I42" s="13"/>
      <c r="J42" s="4"/>
      <c r="L42" s="27"/>
    </row>
    <row r="43" spans="1:39" x14ac:dyDescent="0.35">
      <c r="A43" t="s">
        <v>79</v>
      </c>
      <c r="B43" s="99">
        <v>127</v>
      </c>
      <c r="C43" s="99">
        <v>196.8</v>
      </c>
      <c r="D43" s="16">
        <f t="shared" si="26"/>
        <v>1.5496062992125985</v>
      </c>
      <c r="E43" s="99"/>
      <c r="F43" s="99"/>
      <c r="G43" s="13"/>
      <c r="H43" s="22"/>
      <c r="I43" s="13"/>
      <c r="J43" s="4"/>
      <c r="L43" s="27"/>
    </row>
    <row r="44" spans="1:39" x14ac:dyDescent="0.35">
      <c r="A44" t="s">
        <v>80</v>
      </c>
      <c r="B44" s="99">
        <v>70.099999999999994</v>
      </c>
      <c r="C44" s="99">
        <v>83.8</v>
      </c>
      <c r="D44" s="16">
        <f t="shared" si="26"/>
        <v>1.1954350927246791</v>
      </c>
      <c r="E44" s="99"/>
      <c r="F44" s="99"/>
      <c r="G44" s="13"/>
      <c r="H44" s="22"/>
      <c r="I44" s="13"/>
      <c r="J44" s="4"/>
      <c r="L44" s="27"/>
    </row>
    <row r="45" spans="1:39" x14ac:dyDescent="0.35">
      <c r="A45" t="s">
        <v>81</v>
      </c>
      <c r="B45" s="99">
        <v>109</v>
      </c>
      <c r="C45" s="99">
        <v>164.8</v>
      </c>
      <c r="D45" s="16">
        <f t="shared" si="26"/>
        <v>1.5119266055045872</v>
      </c>
      <c r="E45" s="99"/>
      <c r="F45" s="99"/>
      <c r="G45" s="13"/>
      <c r="H45" s="22"/>
      <c r="I45" s="13"/>
      <c r="J45" s="4"/>
      <c r="L45" s="27"/>
    </row>
    <row r="46" spans="1:39" x14ac:dyDescent="0.35">
      <c r="A46" t="s">
        <v>82</v>
      </c>
      <c r="B46" s="99">
        <v>786.4</v>
      </c>
      <c r="C46" s="99">
        <v>1652</v>
      </c>
      <c r="D46" s="16">
        <f t="shared" si="26"/>
        <v>2.1007121057985758</v>
      </c>
      <c r="E46" s="99"/>
      <c r="F46" s="99"/>
      <c r="G46" s="13"/>
      <c r="H46" s="22"/>
      <c r="I46" s="13"/>
      <c r="J46" s="4"/>
      <c r="L46" s="27"/>
    </row>
    <row r="47" spans="1:39" x14ac:dyDescent="0.35">
      <c r="A47" t="s">
        <v>83</v>
      </c>
      <c r="B47" s="99">
        <v>77.5</v>
      </c>
      <c r="C47" s="99">
        <v>111.3</v>
      </c>
      <c r="D47" s="16">
        <f t="shared" si="26"/>
        <v>1.4361290322580644</v>
      </c>
      <c r="E47" s="99"/>
      <c r="F47" s="99"/>
      <c r="G47" s="13"/>
      <c r="H47" s="22"/>
      <c r="I47" s="13"/>
      <c r="J47" s="4"/>
      <c r="L47" s="27"/>
    </row>
    <row r="48" spans="1:39" x14ac:dyDescent="0.35">
      <c r="A48" t="s">
        <v>84</v>
      </c>
      <c r="B48" s="99">
        <v>40</v>
      </c>
      <c r="C48" s="99">
        <v>55</v>
      </c>
      <c r="D48" s="16">
        <f t="shared" si="26"/>
        <v>1.375</v>
      </c>
      <c r="E48" s="99"/>
      <c r="F48" s="99"/>
      <c r="G48" s="13"/>
      <c r="H48" s="22"/>
      <c r="I48" s="13"/>
      <c r="J48" s="4"/>
      <c r="L48" s="27"/>
    </row>
    <row r="49" spans="1:39" x14ac:dyDescent="0.35">
      <c r="A49" t="s">
        <v>85</v>
      </c>
      <c r="B49" s="99">
        <v>45</v>
      </c>
      <c r="C49" s="99">
        <v>48</v>
      </c>
      <c r="D49" s="16">
        <f t="shared" si="26"/>
        <v>1.0666666666666667</v>
      </c>
      <c r="E49" s="99"/>
      <c r="F49" s="99"/>
      <c r="G49" s="13"/>
      <c r="H49" s="22"/>
      <c r="I49" s="13"/>
      <c r="J49" s="4"/>
      <c r="L49" s="27"/>
    </row>
    <row r="50" spans="1:39" x14ac:dyDescent="0.35">
      <c r="A50" t="s">
        <v>86</v>
      </c>
      <c r="B50" s="99">
        <v>29</v>
      </c>
      <c r="C50" s="99">
        <v>34</v>
      </c>
      <c r="D50" s="16">
        <f t="shared" si="26"/>
        <v>1.1724137931034482</v>
      </c>
      <c r="E50" s="99"/>
      <c r="F50" s="99"/>
      <c r="G50" s="13"/>
      <c r="H50" s="22"/>
      <c r="I50" s="13"/>
      <c r="J50" s="4"/>
      <c r="L50" s="27"/>
    </row>
    <row r="51" spans="1:39" x14ac:dyDescent="0.35">
      <c r="A51" t="s">
        <v>87</v>
      </c>
      <c r="B51" s="99">
        <v>103.5</v>
      </c>
      <c r="C51" s="99">
        <v>142.19999999999999</v>
      </c>
      <c r="D51" s="16">
        <f t="shared" si="26"/>
        <v>1.3739130434782607</v>
      </c>
      <c r="E51" s="99"/>
      <c r="F51" s="99"/>
      <c r="G51" s="13"/>
      <c r="H51" s="22"/>
      <c r="I51" s="13"/>
      <c r="J51" s="4"/>
      <c r="L51" s="27"/>
    </row>
    <row r="52" spans="1:39" x14ac:dyDescent="0.35">
      <c r="A52" t="s">
        <v>88</v>
      </c>
      <c r="B52" s="99"/>
      <c r="C52" s="99"/>
      <c r="D52" s="16"/>
      <c r="E52" s="99"/>
      <c r="F52" s="99"/>
      <c r="G52" s="13"/>
      <c r="H52" s="22"/>
      <c r="I52" s="13"/>
      <c r="J52" s="4"/>
    </row>
    <row r="53" spans="1:39" x14ac:dyDescent="0.35">
      <c r="A53" t="s">
        <v>233</v>
      </c>
      <c r="B53" s="99">
        <v>500.1</v>
      </c>
      <c r="C53" s="99">
        <v>824.1</v>
      </c>
      <c r="D53" s="16">
        <f t="shared" si="26"/>
        <v>1.6478704259148169</v>
      </c>
      <c r="E53" s="99"/>
      <c r="F53" s="99"/>
      <c r="G53" s="13"/>
      <c r="H53" s="22"/>
      <c r="I53" s="13"/>
      <c r="J53" s="4"/>
      <c r="L53" s="27"/>
    </row>
    <row r="54" spans="1:39" x14ac:dyDescent="0.35">
      <c r="A54" t="s">
        <v>90</v>
      </c>
      <c r="B54" s="99"/>
      <c r="C54" s="99"/>
      <c r="D54" s="16"/>
      <c r="E54" s="99"/>
      <c r="F54" s="99"/>
      <c r="G54" s="13"/>
      <c r="H54" s="22"/>
      <c r="I54" s="13"/>
      <c r="J54" s="4"/>
      <c r="L54" s="27"/>
    </row>
    <row r="55" spans="1:39" x14ac:dyDescent="0.35">
      <c r="A55" t="s">
        <v>91</v>
      </c>
      <c r="B55" s="99">
        <v>29.2</v>
      </c>
      <c r="C55" s="99">
        <v>32</v>
      </c>
      <c r="D55" s="16">
        <f t="shared" si="26"/>
        <v>1.095890410958904</v>
      </c>
      <c r="E55" s="99"/>
      <c r="F55" s="99"/>
      <c r="G55" s="13"/>
      <c r="H55" s="22"/>
      <c r="I55" s="13"/>
      <c r="J55" s="4"/>
      <c r="L55" s="27"/>
    </row>
    <row r="56" spans="1:39" x14ac:dyDescent="0.35">
      <c r="A56" t="s">
        <v>92</v>
      </c>
      <c r="B56" s="99">
        <v>62.2</v>
      </c>
      <c r="C56" s="99">
        <v>71.7</v>
      </c>
      <c r="D56" s="16">
        <f t="shared" si="26"/>
        <v>1.152733118971061</v>
      </c>
      <c r="E56" s="99"/>
      <c r="F56" s="99"/>
      <c r="G56" s="13"/>
      <c r="H56" s="22"/>
      <c r="I56" s="13"/>
      <c r="J56" s="4"/>
      <c r="L56" s="27"/>
    </row>
    <row r="57" spans="1:39" x14ac:dyDescent="0.35">
      <c r="A57" t="s">
        <v>93</v>
      </c>
      <c r="B57" s="99"/>
      <c r="C57" s="99"/>
      <c r="D57" s="16"/>
      <c r="E57" s="99"/>
      <c r="F57" s="99"/>
      <c r="G57" s="13"/>
      <c r="H57" s="22"/>
      <c r="I57" s="13"/>
      <c r="J57" s="4"/>
      <c r="L57" s="27"/>
    </row>
    <row r="58" spans="1:39" x14ac:dyDescent="0.35">
      <c r="A58" t="s">
        <v>94</v>
      </c>
      <c r="B58" s="99">
        <v>81.7</v>
      </c>
      <c r="C58" s="99">
        <v>95.6</v>
      </c>
      <c r="D58" s="16">
        <f t="shared" si="26"/>
        <v>1.1701346389228886</v>
      </c>
      <c r="E58" s="99"/>
      <c r="F58" s="99"/>
      <c r="G58" s="13"/>
      <c r="H58" s="22"/>
      <c r="I58" s="13"/>
      <c r="J58" s="4"/>
      <c r="L58" s="27"/>
    </row>
    <row r="59" spans="1:39" x14ac:dyDescent="0.35">
      <c r="A59" t="s">
        <v>95</v>
      </c>
      <c r="B59" s="99">
        <v>22.9</v>
      </c>
      <c r="C59" s="99">
        <v>26.3</v>
      </c>
      <c r="D59" s="16">
        <f t="shared" si="26"/>
        <v>1.1484716157205241</v>
      </c>
      <c r="E59" s="99"/>
      <c r="F59" s="99"/>
      <c r="G59" s="13"/>
      <c r="H59" s="22"/>
      <c r="I59" s="13"/>
      <c r="J59" s="4"/>
      <c r="L59" s="27"/>
    </row>
    <row r="60" spans="1:39" x14ac:dyDescent="0.35">
      <c r="A60" t="s">
        <v>99</v>
      </c>
      <c r="B60" s="99">
        <v>3563.4</v>
      </c>
      <c r="C60" s="99">
        <v>3894.7</v>
      </c>
      <c r="D60" s="16">
        <f t="shared" si="26"/>
        <v>1.092973003311444</v>
      </c>
      <c r="E60" s="99"/>
      <c r="F60" s="99"/>
      <c r="G60" s="13"/>
      <c r="H60" s="22"/>
      <c r="I60" s="13"/>
      <c r="J60" s="4"/>
      <c r="L60" s="27"/>
    </row>
    <row r="61" spans="1:39" s="32" customFormat="1" x14ac:dyDescent="0.35">
      <c r="B61" s="41"/>
      <c r="F61" s="42"/>
      <c r="G61" s="40"/>
      <c r="H61" s="29"/>
      <c r="I61" s="30"/>
      <c r="K61" s="41"/>
      <c r="AG61" s="85"/>
      <c r="AM61" s="85"/>
    </row>
  </sheetData>
  <mergeCells count="12">
    <mergeCell ref="X2:AA2"/>
    <mergeCell ref="AC2:AG2"/>
    <mergeCell ref="AI2:AM2"/>
    <mergeCell ref="B33:D33"/>
    <mergeCell ref="A33:A34"/>
    <mergeCell ref="B2:I2"/>
    <mergeCell ref="J2:O2"/>
    <mergeCell ref="S2:V2"/>
    <mergeCell ref="B3:E3"/>
    <mergeCell ref="F3:I3"/>
    <mergeCell ref="J3:L3"/>
    <mergeCell ref="M3:O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AL94"/>
  <sheetViews>
    <sheetView workbookViewId="0"/>
  </sheetViews>
  <sheetFormatPr defaultRowHeight="14.5" x14ac:dyDescent="0.35"/>
  <cols>
    <col min="1" max="1" width="25.7265625" customWidth="1"/>
    <col min="2" max="4" width="15.7265625" style="22" customWidth="1"/>
    <col min="5" max="5" width="15.7265625" style="4" customWidth="1"/>
    <col min="6" max="7" width="15.7265625" style="22" customWidth="1"/>
    <col min="8" max="8" width="15.7265625" style="13" customWidth="1"/>
    <col min="9" max="9" width="15.7265625" style="4" customWidth="1"/>
    <col min="10" max="10" width="14.7265625" customWidth="1"/>
    <col min="11" max="12" width="15.7265625" customWidth="1"/>
    <col min="13" max="13" width="14.7265625" customWidth="1"/>
    <col min="14" max="15" width="15.7265625" customWidth="1"/>
  </cols>
  <sheetData>
    <row r="1" spans="1:38" s="32" customFormat="1" x14ac:dyDescent="0.35">
      <c r="B1" s="40"/>
      <c r="C1" s="40"/>
      <c r="D1" s="40"/>
      <c r="E1" s="30"/>
      <c r="F1" s="40"/>
      <c r="G1" s="40"/>
      <c r="H1" s="29"/>
      <c r="I1" s="30"/>
    </row>
    <row r="2" spans="1:38" s="5" customFormat="1" x14ac:dyDescent="0.35">
      <c r="B2" s="676" t="s">
        <v>509</v>
      </c>
      <c r="C2" s="676"/>
      <c r="D2" s="676"/>
      <c r="E2" s="676"/>
      <c r="F2" s="676"/>
      <c r="G2" s="676"/>
      <c r="H2" s="676"/>
      <c r="I2" s="676"/>
      <c r="J2" s="676" t="s">
        <v>510</v>
      </c>
      <c r="K2" s="676"/>
      <c r="L2" s="676"/>
      <c r="M2" s="676"/>
      <c r="N2" s="676"/>
      <c r="O2" s="676"/>
      <c r="P2" s="6"/>
      <c r="Q2" s="676"/>
      <c r="R2" s="676"/>
      <c r="S2" s="676"/>
      <c r="T2" s="676"/>
      <c r="U2" s="676"/>
      <c r="V2" s="676"/>
      <c r="AE2" s="34"/>
      <c r="AF2" s="34"/>
      <c r="AG2" s="34"/>
      <c r="AH2" s="34"/>
      <c r="AI2" s="34"/>
      <c r="AJ2" s="34"/>
      <c r="AK2" s="34"/>
      <c r="AL2" s="34"/>
    </row>
    <row r="3" spans="1:38" s="6" customFormat="1" x14ac:dyDescent="0.35">
      <c r="A3" s="157" t="s">
        <v>128</v>
      </c>
      <c r="B3" s="676" t="s">
        <v>434</v>
      </c>
      <c r="C3" s="676"/>
      <c r="D3" s="676"/>
      <c r="E3" s="676"/>
      <c r="F3" s="676" t="s">
        <v>435</v>
      </c>
      <c r="G3" s="676"/>
      <c r="H3" s="676"/>
      <c r="I3" s="676"/>
      <c r="J3" s="676" t="s">
        <v>434</v>
      </c>
      <c r="K3" s="676"/>
      <c r="L3" s="676"/>
      <c r="M3" s="676" t="s">
        <v>435</v>
      </c>
      <c r="N3" s="676"/>
      <c r="O3" s="676"/>
      <c r="AE3" s="9"/>
      <c r="AF3" s="9"/>
      <c r="AG3" s="9"/>
      <c r="AH3" s="9"/>
      <c r="AI3" s="9"/>
      <c r="AJ3" s="9"/>
      <c r="AK3" s="9"/>
      <c r="AL3" s="9"/>
    </row>
    <row r="4" spans="1:38" s="6" customFormat="1" ht="29" x14ac:dyDescent="0.35">
      <c r="A4" s="157"/>
      <c r="B4" s="28" t="s">
        <v>436</v>
      </c>
      <c r="C4" s="28" t="s">
        <v>437</v>
      </c>
      <c r="D4" s="28" t="s">
        <v>438</v>
      </c>
      <c r="E4" s="28" t="s">
        <v>129</v>
      </c>
      <c r="F4" s="28" t="s">
        <v>436</v>
      </c>
      <c r="G4" s="28" t="s">
        <v>437</v>
      </c>
      <c r="H4" s="28" t="s">
        <v>438</v>
      </c>
      <c r="I4" s="28" t="s">
        <v>129</v>
      </c>
      <c r="J4" s="28" t="s">
        <v>160</v>
      </c>
      <c r="K4" s="28" t="s">
        <v>159</v>
      </c>
      <c r="L4" s="28" t="s">
        <v>161</v>
      </c>
      <c r="M4" s="28" t="s">
        <v>160</v>
      </c>
      <c r="N4" s="28" t="s">
        <v>159</v>
      </c>
      <c r="O4" s="28" t="s">
        <v>161</v>
      </c>
      <c r="AE4" s="9"/>
      <c r="AF4" s="9"/>
      <c r="AG4" s="9"/>
      <c r="AH4" s="9"/>
      <c r="AI4" s="9"/>
      <c r="AJ4" s="9"/>
      <c r="AK4" s="9"/>
      <c r="AL4" s="9"/>
    </row>
    <row r="5" spans="1:38" x14ac:dyDescent="0.35">
      <c r="A5" t="s">
        <v>71</v>
      </c>
      <c r="B5" s="76">
        <v>24724150.155390002</v>
      </c>
      <c r="C5" s="76">
        <v>507822320.11488008</v>
      </c>
      <c r="D5" s="76">
        <v>532546470.27027011</v>
      </c>
      <c r="E5" s="4">
        <f>C5/D5</f>
        <v>0.95357372260332063</v>
      </c>
      <c r="F5" s="76">
        <v>39849127.214999996</v>
      </c>
      <c r="G5" s="76">
        <v>600736643.41086006</v>
      </c>
      <c r="H5" s="76">
        <v>640585770.6258601</v>
      </c>
      <c r="I5" s="4">
        <f>G5/H5</f>
        <v>0.93779267501357866</v>
      </c>
      <c r="J5" s="91">
        <f>B5/365</f>
        <v>67737.397686000011</v>
      </c>
      <c r="K5" s="91">
        <f>C5/365</f>
        <v>1391294.0277120003</v>
      </c>
      <c r="L5" s="77">
        <f>J5+K5</f>
        <v>1459031.4253980003</v>
      </c>
      <c r="M5" s="77">
        <f>F5/365</f>
        <v>109175.69099999999</v>
      </c>
      <c r="N5" s="77">
        <f>G5/365</f>
        <v>1645853.8175640001</v>
      </c>
      <c r="O5" s="77">
        <f>M5+N5</f>
        <v>1755029.508564</v>
      </c>
      <c r="Q5" s="18"/>
      <c r="R5" s="18"/>
      <c r="S5" s="18"/>
      <c r="AE5" s="31"/>
      <c r="AF5" s="31"/>
      <c r="AG5" s="31"/>
      <c r="AH5" s="31"/>
      <c r="AI5" s="31"/>
    </row>
    <row r="6" spans="1:38" x14ac:dyDescent="0.35">
      <c r="A6" t="s">
        <v>72</v>
      </c>
      <c r="B6" s="76">
        <v>49862655.428279996</v>
      </c>
      <c r="C6" s="76">
        <v>1207879321.0946708</v>
      </c>
      <c r="D6" s="76">
        <v>1257741976.5229506</v>
      </c>
      <c r="E6" s="4">
        <f t="shared" ref="E6:E31" si="0">C6/D6</f>
        <v>0.96035541759834875</v>
      </c>
      <c r="F6" s="76">
        <v>259687889.17331994</v>
      </c>
      <c r="G6" s="76">
        <v>696679967.04666007</v>
      </c>
      <c r="H6" s="76">
        <v>956367856.21998</v>
      </c>
      <c r="I6" s="4">
        <f t="shared" ref="I6:I31" si="1">G6/H6</f>
        <v>0.72846443187694554</v>
      </c>
      <c r="J6" s="91">
        <f t="shared" ref="J6:J30" si="2">B6/365</f>
        <v>136610.014872</v>
      </c>
      <c r="K6" s="91">
        <f t="shared" ref="K6:K30" si="3">C6/365</f>
        <v>3309258.4139580023</v>
      </c>
      <c r="L6" s="77">
        <f t="shared" ref="L6:L30" si="4">J6+K6</f>
        <v>3445868.4288300024</v>
      </c>
      <c r="M6" s="77">
        <f t="shared" ref="M6:M30" si="5">F6/365</f>
        <v>711473.66896799987</v>
      </c>
      <c r="N6" s="77">
        <f t="shared" ref="N6:N30" si="6">G6/365</f>
        <v>1908712.2384840001</v>
      </c>
      <c r="O6" s="77">
        <f t="shared" ref="O6:O30" si="7">M6+N6</f>
        <v>2620185.9074519998</v>
      </c>
      <c r="Q6" s="18"/>
      <c r="R6" s="18"/>
      <c r="S6" s="18"/>
      <c r="AE6" s="31"/>
      <c r="AF6" s="31"/>
      <c r="AG6" s="31"/>
      <c r="AH6" s="31"/>
      <c r="AI6" s="31"/>
    </row>
    <row r="7" spans="1:38" x14ac:dyDescent="0.35">
      <c r="A7" t="s">
        <v>73</v>
      </c>
      <c r="B7" s="76">
        <v>1931415350.4870601</v>
      </c>
      <c r="C7" s="76">
        <v>4234854380.1090312</v>
      </c>
      <c r="D7" s="76">
        <v>6166269730.5960913</v>
      </c>
      <c r="E7" s="4">
        <f t="shared" si="0"/>
        <v>0.68677734921265754</v>
      </c>
      <c r="F7" s="76">
        <v>6401382688.2008114</v>
      </c>
      <c r="G7" s="76">
        <v>8167927577.5238724</v>
      </c>
      <c r="H7" s="76">
        <v>14569310265.724684</v>
      </c>
      <c r="I7" s="4">
        <f t="shared" si="1"/>
        <v>0.56062554977221468</v>
      </c>
      <c r="J7" s="91">
        <f t="shared" si="2"/>
        <v>5291548.9054439999</v>
      </c>
      <c r="K7" s="91">
        <f t="shared" si="3"/>
        <v>11602340.767422004</v>
      </c>
      <c r="L7" s="77">
        <f t="shared" si="4"/>
        <v>16893889.672866002</v>
      </c>
      <c r="M7" s="77">
        <f t="shared" si="5"/>
        <v>17538034.762194004</v>
      </c>
      <c r="N7" s="77">
        <f t="shared" si="6"/>
        <v>22377883.774038006</v>
      </c>
      <c r="O7" s="77">
        <f t="shared" si="7"/>
        <v>39915918.53623201</v>
      </c>
      <c r="Q7" s="18"/>
      <c r="R7" s="18"/>
      <c r="S7" s="18"/>
      <c r="AE7" s="31"/>
      <c r="AF7" s="31"/>
      <c r="AG7" s="31"/>
      <c r="AH7" s="31"/>
      <c r="AI7" s="31"/>
    </row>
    <row r="8" spans="1:38" x14ac:dyDescent="0.35">
      <c r="A8" t="s">
        <v>74</v>
      </c>
      <c r="B8" s="76">
        <v>10002921.5352</v>
      </c>
      <c r="C8" s="76">
        <v>1744647922.0657203</v>
      </c>
      <c r="D8" s="76">
        <v>1754650843.6009202</v>
      </c>
      <c r="E8" s="4">
        <f t="shared" si="0"/>
        <v>0.99429919543726908</v>
      </c>
      <c r="F8" s="76">
        <v>989314872.55202949</v>
      </c>
      <c r="G8" s="76">
        <v>2208061137.4849806</v>
      </c>
      <c r="H8" s="76">
        <v>3197376010.0370102</v>
      </c>
      <c r="I8" s="4">
        <f t="shared" si="1"/>
        <v>0.69058538331230612</v>
      </c>
      <c r="J8" s="91">
        <f t="shared" si="2"/>
        <v>27405.264479999998</v>
      </c>
      <c r="K8" s="91">
        <f t="shared" si="3"/>
        <v>4779857.3207280012</v>
      </c>
      <c r="L8" s="77">
        <f t="shared" si="4"/>
        <v>4807262.5852080015</v>
      </c>
      <c r="M8" s="77">
        <f t="shared" si="5"/>
        <v>2710451.7056219988</v>
      </c>
      <c r="N8" s="77">
        <f t="shared" si="6"/>
        <v>6049482.5684520015</v>
      </c>
      <c r="O8" s="77">
        <f t="shared" si="7"/>
        <v>8759934.2740739994</v>
      </c>
      <c r="Q8" s="18"/>
      <c r="R8" s="18"/>
      <c r="S8" s="18"/>
      <c r="AE8" s="31"/>
      <c r="AF8" s="31"/>
      <c r="AG8" s="31"/>
      <c r="AH8" s="31"/>
      <c r="AI8" s="31"/>
    </row>
    <row r="9" spans="1:38" x14ac:dyDescent="0.35">
      <c r="A9" t="s">
        <v>75</v>
      </c>
      <c r="B9" s="76"/>
      <c r="C9" s="76"/>
      <c r="D9" s="76"/>
      <c r="F9" s="76">
        <v>1236021067.7132754</v>
      </c>
      <c r="G9" s="76">
        <v>977195794.27158022</v>
      </c>
      <c r="H9" s="76">
        <v>2213216861.9848557</v>
      </c>
      <c r="I9" s="4">
        <f t="shared" si="1"/>
        <v>0.44152735823420941</v>
      </c>
      <c r="J9" s="91">
        <f t="shared" si="2"/>
        <v>0</v>
      </c>
      <c r="K9" s="91">
        <f t="shared" si="3"/>
        <v>0</v>
      </c>
      <c r="L9" s="77">
        <f t="shared" si="4"/>
        <v>0</v>
      </c>
      <c r="M9" s="77">
        <f t="shared" si="5"/>
        <v>3386359.0896254121</v>
      </c>
      <c r="N9" s="77">
        <f t="shared" si="6"/>
        <v>2677248.7514289869</v>
      </c>
      <c r="O9" s="77">
        <f t="shared" si="7"/>
        <v>6063607.8410543986</v>
      </c>
      <c r="R9" s="18"/>
      <c r="S9" s="18"/>
      <c r="AE9" s="31"/>
      <c r="AF9" s="31"/>
      <c r="AG9" s="31"/>
      <c r="AH9" s="31"/>
      <c r="AI9" s="31"/>
    </row>
    <row r="10" spans="1:38" x14ac:dyDescent="0.35">
      <c r="A10" t="s">
        <v>76</v>
      </c>
      <c r="B10" s="76"/>
      <c r="C10" s="76"/>
      <c r="D10" s="76"/>
      <c r="F10" s="76">
        <v>191899963.34978998</v>
      </c>
      <c r="G10" s="76">
        <v>1008441796.5407702</v>
      </c>
      <c r="H10" s="76">
        <v>1200341759.8905602</v>
      </c>
      <c r="I10" s="4">
        <f t="shared" si="1"/>
        <v>0.84012889515125566</v>
      </c>
      <c r="J10" s="91">
        <f t="shared" si="2"/>
        <v>0</v>
      </c>
      <c r="K10" s="91">
        <f t="shared" si="3"/>
        <v>0</v>
      </c>
      <c r="L10" s="77">
        <f t="shared" si="4"/>
        <v>0</v>
      </c>
      <c r="M10" s="77">
        <f t="shared" si="5"/>
        <v>525753.32424599992</v>
      </c>
      <c r="N10" s="77">
        <f t="shared" si="6"/>
        <v>2762854.2370980005</v>
      </c>
      <c r="O10" s="77">
        <f t="shared" si="7"/>
        <v>3288607.5613440005</v>
      </c>
      <c r="R10" s="18"/>
      <c r="S10" s="18"/>
      <c r="AE10" s="31"/>
      <c r="AF10" s="31"/>
      <c r="AG10" s="31"/>
      <c r="AH10" s="31"/>
      <c r="AI10" s="31"/>
    </row>
    <row r="11" spans="1:38" x14ac:dyDescent="0.35">
      <c r="A11" t="s">
        <v>77</v>
      </c>
      <c r="B11" s="76">
        <v>14371154.704620002</v>
      </c>
      <c r="C11" s="76">
        <v>857191044.01655996</v>
      </c>
      <c r="D11" s="76">
        <v>871562198.72117996</v>
      </c>
      <c r="E11" s="4">
        <f t="shared" si="0"/>
        <v>0.98351103945799112</v>
      </c>
      <c r="F11" s="76">
        <v>139296308.15696999</v>
      </c>
      <c r="G11" s="76">
        <v>2349717662.6911483</v>
      </c>
      <c r="H11" s="76">
        <v>2489013970.8481183</v>
      </c>
      <c r="I11" s="4">
        <f t="shared" si="1"/>
        <v>0.94403554588747229</v>
      </c>
      <c r="J11" s="91">
        <f t="shared" si="2"/>
        <v>39373.026588000008</v>
      </c>
      <c r="K11" s="91">
        <f t="shared" si="3"/>
        <v>2348468.613744</v>
      </c>
      <c r="L11" s="77">
        <f t="shared" si="4"/>
        <v>2387841.6403319999</v>
      </c>
      <c r="M11" s="77">
        <f t="shared" si="5"/>
        <v>381633.72097799997</v>
      </c>
      <c r="N11" s="77">
        <f t="shared" si="6"/>
        <v>6437582.6375099951</v>
      </c>
      <c r="O11" s="77">
        <f t="shared" si="7"/>
        <v>6819216.3584879953</v>
      </c>
      <c r="Q11" s="18"/>
      <c r="R11" s="18"/>
      <c r="S11" s="18"/>
      <c r="AE11" s="31"/>
      <c r="AF11" s="31"/>
      <c r="AG11" s="31"/>
      <c r="AH11" s="31"/>
      <c r="AI11" s="31"/>
    </row>
    <row r="12" spans="1:38" x14ac:dyDescent="0.35">
      <c r="A12" t="s">
        <v>78</v>
      </c>
      <c r="B12" s="76">
        <v>9462657388.730526</v>
      </c>
      <c r="C12" s="76">
        <v>24004631744.654362</v>
      </c>
      <c r="D12" s="76">
        <v>33467289133.384888</v>
      </c>
      <c r="E12" s="4">
        <f t="shared" si="0"/>
        <v>0.7172565321613944</v>
      </c>
      <c r="F12" s="76">
        <v>30876379643.785526</v>
      </c>
      <c r="G12" s="76">
        <v>23159339494.558037</v>
      </c>
      <c r="H12" s="76">
        <v>54035719138.343567</v>
      </c>
      <c r="I12" s="4">
        <f t="shared" si="1"/>
        <v>0.42859315770860623</v>
      </c>
      <c r="J12" s="91">
        <f t="shared" si="2"/>
        <v>25925088.736248016</v>
      </c>
      <c r="K12" s="91">
        <f t="shared" si="3"/>
        <v>65766114.368916057</v>
      </c>
      <c r="L12" s="77">
        <f t="shared" si="4"/>
        <v>91691203.105164081</v>
      </c>
      <c r="M12" s="77">
        <f t="shared" si="5"/>
        <v>84592820.941878155</v>
      </c>
      <c r="N12" s="77">
        <f t="shared" si="6"/>
        <v>63450245.190569967</v>
      </c>
      <c r="O12" s="77">
        <f t="shared" si="7"/>
        <v>148043066.13244814</v>
      </c>
      <c r="Q12" s="18"/>
      <c r="R12" s="18"/>
      <c r="S12" s="18"/>
      <c r="AE12" s="31"/>
      <c r="AF12" s="31"/>
      <c r="AG12" s="31"/>
      <c r="AH12" s="31"/>
      <c r="AI12" s="31"/>
    </row>
    <row r="13" spans="1:38" x14ac:dyDescent="0.35">
      <c r="A13" t="s">
        <v>79</v>
      </c>
      <c r="B13" s="76">
        <v>369301871.52077997</v>
      </c>
      <c r="C13" s="76">
        <v>2524676964.7033205</v>
      </c>
      <c r="D13" s="76">
        <v>2893978836.2241006</v>
      </c>
      <c r="E13" s="4">
        <f t="shared" si="0"/>
        <v>0.87238957420897234</v>
      </c>
      <c r="F13" s="76">
        <v>2478698455.1252379</v>
      </c>
      <c r="G13" s="76">
        <v>1871931343.1913304</v>
      </c>
      <c r="H13" s="76">
        <v>4350629798.3165684</v>
      </c>
      <c r="I13" s="4">
        <f t="shared" si="1"/>
        <v>0.43026674986588265</v>
      </c>
      <c r="J13" s="91">
        <f t="shared" si="2"/>
        <v>1011785.9493719999</v>
      </c>
      <c r="K13" s="91">
        <f t="shared" si="3"/>
        <v>6916923.1909680013</v>
      </c>
      <c r="L13" s="77">
        <f t="shared" si="4"/>
        <v>7928709.1403400013</v>
      </c>
      <c r="M13" s="77">
        <f t="shared" si="5"/>
        <v>6790954.6715759942</v>
      </c>
      <c r="N13" s="77">
        <f t="shared" si="6"/>
        <v>5128579.0224420009</v>
      </c>
      <c r="O13" s="77">
        <f t="shared" si="7"/>
        <v>11919533.694017995</v>
      </c>
      <c r="Q13" s="18"/>
      <c r="R13" s="18"/>
      <c r="S13" s="18"/>
      <c r="AE13" s="31"/>
      <c r="AF13" s="31"/>
      <c r="AG13" s="31"/>
      <c r="AH13" s="31"/>
      <c r="AI13" s="31"/>
    </row>
    <row r="14" spans="1:38" x14ac:dyDescent="0.35">
      <c r="A14" t="s">
        <v>80</v>
      </c>
      <c r="B14" s="76"/>
      <c r="C14" s="76"/>
      <c r="D14" s="76"/>
      <c r="F14" s="76">
        <v>3698702166.2340269</v>
      </c>
      <c r="G14" s="76">
        <v>4245011427.6487184</v>
      </c>
      <c r="H14" s="76">
        <v>7943713593.8827457</v>
      </c>
      <c r="I14" s="4">
        <f t="shared" si="1"/>
        <v>0.53438626373912768</v>
      </c>
      <c r="J14" s="91">
        <f t="shared" si="2"/>
        <v>0</v>
      </c>
      <c r="K14" s="91">
        <f t="shared" si="3"/>
        <v>0</v>
      </c>
      <c r="L14" s="77">
        <f t="shared" si="4"/>
        <v>0</v>
      </c>
      <c r="M14" s="77">
        <f t="shared" si="5"/>
        <v>10133430.592421992</v>
      </c>
      <c r="N14" s="77">
        <f t="shared" si="6"/>
        <v>11630168.294927996</v>
      </c>
      <c r="O14" s="77">
        <f t="shared" si="7"/>
        <v>21763598.887349986</v>
      </c>
      <c r="R14" s="18"/>
      <c r="S14" s="18"/>
      <c r="AE14" s="31"/>
      <c r="AF14" s="31"/>
      <c r="AG14" s="31"/>
      <c r="AH14" s="31"/>
      <c r="AI14" s="31"/>
    </row>
    <row r="15" spans="1:38" x14ac:dyDescent="0.35">
      <c r="A15" t="s">
        <v>81</v>
      </c>
      <c r="B15" s="76"/>
      <c r="C15" s="76"/>
      <c r="D15" s="76"/>
      <c r="F15" s="76">
        <v>6024219.9441479985</v>
      </c>
      <c r="G15" s="76">
        <v>6679502.0346720014</v>
      </c>
      <c r="H15" s="76">
        <v>12703721.97882</v>
      </c>
      <c r="I15" s="4">
        <f t="shared" si="1"/>
        <v>0.52579094896820422</v>
      </c>
      <c r="J15" s="91">
        <f t="shared" si="2"/>
        <v>0</v>
      </c>
      <c r="K15" s="91">
        <f t="shared" si="3"/>
        <v>0</v>
      </c>
      <c r="L15" s="77">
        <f t="shared" si="4"/>
        <v>0</v>
      </c>
      <c r="M15" s="77">
        <f t="shared" si="5"/>
        <v>16504.71217574794</v>
      </c>
      <c r="N15" s="77">
        <f t="shared" si="6"/>
        <v>18300.00557444384</v>
      </c>
      <c r="O15" s="77">
        <f t="shared" si="7"/>
        <v>34804.717750191776</v>
      </c>
      <c r="R15" s="18"/>
      <c r="S15" s="18"/>
      <c r="AE15" s="31"/>
      <c r="AF15" s="31"/>
      <c r="AG15" s="31"/>
      <c r="AH15" s="31"/>
      <c r="AI15" s="31"/>
    </row>
    <row r="16" spans="1:38" x14ac:dyDescent="0.35">
      <c r="A16" t="s">
        <v>82</v>
      </c>
      <c r="B16" s="76">
        <v>8190470886.0512133</v>
      </c>
      <c r="C16" s="76">
        <v>12760173640.523247</v>
      </c>
      <c r="D16" s="76">
        <v>20950644526.574459</v>
      </c>
      <c r="E16" s="4">
        <f t="shared" si="0"/>
        <v>0.60905876305322448</v>
      </c>
      <c r="F16" s="76">
        <v>19541803947.862724</v>
      </c>
      <c r="G16" s="76">
        <v>19686036138.520599</v>
      </c>
      <c r="H16" s="76">
        <v>39227840086.383324</v>
      </c>
      <c r="I16" s="4">
        <f t="shared" si="1"/>
        <v>0.501838390672801</v>
      </c>
      <c r="J16" s="91">
        <f t="shared" si="2"/>
        <v>22439646.263154007</v>
      </c>
      <c r="K16" s="91">
        <f t="shared" si="3"/>
        <v>34959379.837049991</v>
      </c>
      <c r="L16" s="77">
        <f t="shared" si="4"/>
        <v>57399026.100203998</v>
      </c>
      <c r="M16" s="77">
        <f t="shared" si="5"/>
        <v>53539188.898254037</v>
      </c>
      <c r="N16" s="77">
        <f t="shared" si="6"/>
        <v>53934345.584987946</v>
      </c>
      <c r="O16" s="77">
        <f t="shared" si="7"/>
        <v>107473534.48324198</v>
      </c>
      <c r="Q16" s="18"/>
      <c r="R16" s="18"/>
      <c r="S16" s="18"/>
      <c r="AE16" s="31"/>
      <c r="AF16" s="31"/>
      <c r="AG16" s="31"/>
      <c r="AH16" s="31"/>
      <c r="AI16" s="31"/>
    </row>
    <row r="17" spans="1:38" x14ac:dyDescent="0.35">
      <c r="A17" t="s">
        <v>83</v>
      </c>
      <c r="B17" s="76"/>
      <c r="C17" s="76">
        <v>1681152994.4494507</v>
      </c>
      <c r="D17" s="76">
        <v>1681152994.4494507</v>
      </c>
      <c r="E17" s="4">
        <f t="shared" si="0"/>
        <v>1</v>
      </c>
      <c r="F17" s="76">
        <v>117725950.28358002</v>
      </c>
      <c r="G17" s="76">
        <v>1940461415.1833692</v>
      </c>
      <c r="H17" s="76">
        <v>2058187365.4669492</v>
      </c>
      <c r="I17" s="4">
        <f t="shared" si="1"/>
        <v>0.94280115005133602</v>
      </c>
      <c r="J17" s="91">
        <f t="shared" si="2"/>
        <v>0</v>
      </c>
      <c r="K17" s="91">
        <f t="shared" si="3"/>
        <v>4605898.614930002</v>
      </c>
      <c r="L17" s="77">
        <f t="shared" si="4"/>
        <v>4605898.614930002</v>
      </c>
      <c r="M17" s="77">
        <f t="shared" si="5"/>
        <v>322536.85009200004</v>
      </c>
      <c r="N17" s="77">
        <f t="shared" si="6"/>
        <v>5316332.6443379978</v>
      </c>
      <c r="O17" s="77">
        <f t="shared" si="7"/>
        <v>5638869.4944299981</v>
      </c>
      <c r="Q17" s="18"/>
      <c r="R17" s="18"/>
      <c r="S17" s="18"/>
      <c r="AE17" s="31"/>
      <c r="AF17" s="31"/>
      <c r="AG17" s="31"/>
      <c r="AH17" s="31"/>
      <c r="AI17" s="31"/>
    </row>
    <row r="18" spans="1:38" x14ac:dyDescent="0.35">
      <c r="A18" t="s">
        <v>84</v>
      </c>
      <c r="B18" s="76">
        <v>12808217.17248</v>
      </c>
      <c r="C18" s="76">
        <v>679489873.55006993</v>
      </c>
      <c r="D18" s="76">
        <v>692298090.72254992</v>
      </c>
      <c r="E18" s="4">
        <f t="shared" si="0"/>
        <v>0.98149898527220825</v>
      </c>
      <c r="F18" s="76">
        <v>169630834.98662999</v>
      </c>
      <c r="G18" s="76">
        <v>877372472.48535001</v>
      </c>
      <c r="H18" s="76">
        <v>1047003307.47198</v>
      </c>
      <c r="I18" s="4">
        <f t="shared" si="1"/>
        <v>0.83798443254567312</v>
      </c>
      <c r="J18" s="91">
        <f t="shared" si="2"/>
        <v>35091.005952</v>
      </c>
      <c r="K18" s="91">
        <f t="shared" si="3"/>
        <v>1861616.0919179998</v>
      </c>
      <c r="L18" s="77">
        <f t="shared" si="4"/>
        <v>1896707.0978699997</v>
      </c>
      <c r="M18" s="77">
        <f t="shared" si="5"/>
        <v>464742.01366199995</v>
      </c>
      <c r="N18" s="77">
        <f t="shared" si="6"/>
        <v>2403760.1985900002</v>
      </c>
      <c r="O18" s="77">
        <f t="shared" si="7"/>
        <v>2868502.2122520003</v>
      </c>
      <c r="Q18" s="18"/>
      <c r="R18" s="18"/>
      <c r="S18" s="18"/>
      <c r="AE18" s="31"/>
      <c r="AF18" s="31"/>
      <c r="AG18" s="31"/>
      <c r="AH18" s="31"/>
      <c r="AI18" s="31"/>
    </row>
    <row r="19" spans="1:38" x14ac:dyDescent="0.35">
      <c r="A19" t="s">
        <v>85</v>
      </c>
      <c r="B19" s="76"/>
      <c r="C19" s="76">
        <v>1266432068.5583997</v>
      </c>
      <c r="D19" s="76">
        <v>1266432068.5583997</v>
      </c>
      <c r="E19" s="4">
        <f t="shared" si="0"/>
        <v>1</v>
      </c>
      <c r="F19" s="76">
        <v>483780336.45836985</v>
      </c>
      <c r="G19" s="76">
        <v>1665887532.2536807</v>
      </c>
      <c r="H19" s="76">
        <v>2149667868.7120504</v>
      </c>
      <c r="I19" s="4">
        <f t="shared" si="1"/>
        <v>0.77495112454361548</v>
      </c>
      <c r="J19" s="91">
        <f t="shared" si="2"/>
        <v>0</v>
      </c>
      <c r="K19" s="91">
        <f t="shared" si="3"/>
        <v>3469676.9001599993</v>
      </c>
      <c r="L19" s="77">
        <f t="shared" si="4"/>
        <v>3469676.9001599993</v>
      </c>
      <c r="M19" s="77">
        <f t="shared" si="5"/>
        <v>1325425.5793379997</v>
      </c>
      <c r="N19" s="77">
        <f t="shared" si="6"/>
        <v>4564075.4308320023</v>
      </c>
      <c r="O19" s="77">
        <f t="shared" si="7"/>
        <v>5889501.0101700015</v>
      </c>
      <c r="Q19" s="18"/>
      <c r="R19" s="18"/>
      <c r="S19" s="18"/>
      <c r="AE19" s="31"/>
      <c r="AF19" s="31"/>
      <c r="AG19" s="31"/>
      <c r="AH19" s="31"/>
      <c r="AI19" s="31"/>
    </row>
    <row r="20" spans="1:38" x14ac:dyDescent="0.35">
      <c r="A20" t="s">
        <v>86</v>
      </c>
      <c r="B20" s="76"/>
      <c r="C20" s="76">
        <v>342622004.45997006</v>
      </c>
      <c r="D20" s="76">
        <v>342622004.45997006</v>
      </c>
      <c r="E20" s="4">
        <f t="shared" si="0"/>
        <v>1</v>
      </c>
      <c r="F20" s="76">
        <v>176325773.70917997</v>
      </c>
      <c r="G20" s="76">
        <v>1006421753.8494002</v>
      </c>
      <c r="H20" s="76">
        <v>1182747527.5585802</v>
      </c>
      <c r="I20" s="4">
        <f t="shared" si="1"/>
        <v>0.8509185015392503</v>
      </c>
      <c r="J20" s="91">
        <f t="shared" si="2"/>
        <v>0</v>
      </c>
      <c r="K20" s="91">
        <f t="shared" si="3"/>
        <v>938690.42317800014</v>
      </c>
      <c r="L20" s="77">
        <f t="shared" si="4"/>
        <v>938690.42317800014</v>
      </c>
      <c r="M20" s="77">
        <f t="shared" si="5"/>
        <v>483084.31153199991</v>
      </c>
      <c r="N20" s="77">
        <f t="shared" si="6"/>
        <v>2757319.8735600007</v>
      </c>
      <c r="O20" s="77">
        <f t="shared" si="7"/>
        <v>3240404.1850920008</v>
      </c>
      <c r="Q20" s="18"/>
      <c r="R20" s="18"/>
      <c r="S20" s="18"/>
      <c r="AE20" s="31"/>
      <c r="AF20" s="31"/>
      <c r="AG20" s="31"/>
      <c r="AH20" s="31"/>
      <c r="AI20" s="31"/>
    </row>
    <row r="21" spans="1:38" x14ac:dyDescent="0.35">
      <c r="A21" t="s">
        <v>87</v>
      </c>
      <c r="B21" s="76">
        <v>3924451.6460700002</v>
      </c>
      <c r="C21" s="76">
        <v>1107956419.8314104</v>
      </c>
      <c r="D21" s="76">
        <v>1111880871.4774804</v>
      </c>
      <c r="E21" s="4">
        <f t="shared" si="0"/>
        <v>0.99647043874326646</v>
      </c>
      <c r="F21" s="76">
        <v>194577538.15422001</v>
      </c>
      <c r="G21" s="76">
        <v>1354025752.4363394</v>
      </c>
      <c r="H21" s="76">
        <v>1548603290.5905595</v>
      </c>
      <c r="I21" s="4">
        <f t="shared" si="1"/>
        <v>0.8743528834424612</v>
      </c>
      <c r="J21" s="91">
        <f t="shared" si="2"/>
        <v>10751.922318000001</v>
      </c>
      <c r="K21" s="91">
        <f t="shared" si="3"/>
        <v>3035497.0406340011</v>
      </c>
      <c r="L21" s="77">
        <f t="shared" si="4"/>
        <v>3046248.962952001</v>
      </c>
      <c r="M21" s="77">
        <f t="shared" si="5"/>
        <v>533089.14562800003</v>
      </c>
      <c r="N21" s="77">
        <f t="shared" si="6"/>
        <v>3709659.5957159982</v>
      </c>
      <c r="O21" s="77">
        <f t="shared" si="7"/>
        <v>4242748.7413439984</v>
      </c>
      <c r="Q21" s="18"/>
      <c r="R21" s="18"/>
      <c r="S21" s="18"/>
      <c r="AE21" s="31"/>
      <c r="AF21" s="31"/>
      <c r="AG21" s="31"/>
      <c r="AH21" s="31"/>
      <c r="AI21" s="31"/>
    </row>
    <row r="22" spans="1:38" x14ac:dyDescent="0.35">
      <c r="A22" t="s">
        <v>88</v>
      </c>
      <c r="B22" s="76"/>
      <c r="C22" s="76"/>
      <c r="D22" s="76"/>
      <c r="F22" s="76">
        <v>88800475.493939981</v>
      </c>
      <c r="G22" s="76">
        <v>851783792.26443017</v>
      </c>
      <c r="H22" s="76">
        <v>940584267.75837016</v>
      </c>
      <c r="I22" s="4">
        <f t="shared" si="1"/>
        <v>0.90559009060871065</v>
      </c>
      <c r="J22" s="91">
        <f t="shared" si="2"/>
        <v>0</v>
      </c>
      <c r="K22" s="91">
        <f t="shared" si="3"/>
        <v>0</v>
      </c>
      <c r="L22" s="77">
        <f t="shared" si="4"/>
        <v>0</v>
      </c>
      <c r="M22" s="77">
        <f t="shared" si="5"/>
        <v>243288.97395599994</v>
      </c>
      <c r="N22" s="77">
        <f t="shared" si="6"/>
        <v>2333654.2253820007</v>
      </c>
      <c r="O22" s="77">
        <f t="shared" si="7"/>
        <v>2576943.1993380007</v>
      </c>
      <c r="R22" s="18"/>
      <c r="S22" s="18"/>
      <c r="AE22" s="31"/>
      <c r="AF22" s="31"/>
      <c r="AG22" s="31"/>
      <c r="AH22" s="31"/>
      <c r="AI22" s="31"/>
    </row>
    <row r="23" spans="1:38" x14ac:dyDescent="0.35">
      <c r="A23" t="s">
        <v>233</v>
      </c>
      <c r="B23" s="76">
        <v>2823566155.8469796</v>
      </c>
      <c r="C23" s="76">
        <v>10127900882.243425</v>
      </c>
      <c r="D23" s="76">
        <v>12951467038.090405</v>
      </c>
      <c r="E23" s="4">
        <f t="shared" si="0"/>
        <v>0.78198870077475857</v>
      </c>
      <c r="F23" s="76">
        <v>6073018624.9478588</v>
      </c>
      <c r="G23" s="76">
        <v>4718888346.2292871</v>
      </c>
      <c r="H23" s="76">
        <v>10791906971.177147</v>
      </c>
      <c r="I23" s="4">
        <f t="shared" si="1"/>
        <v>0.43726177021655382</v>
      </c>
      <c r="J23" s="91">
        <f t="shared" si="2"/>
        <v>7735797.687251999</v>
      </c>
      <c r="K23" s="91">
        <f t="shared" si="3"/>
        <v>27747673.649981987</v>
      </c>
      <c r="L23" s="77">
        <f t="shared" si="4"/>
        <v>35483471.337233983</v>
      </c>
      <c r="M23" s="77">
        <f t="shared" si="5"/>
        <v>16638407.191637969</v>
      </c>
      <c r="N23" s="77">
        <f t="shared" si="6"/>
        <v>12928461.222545993</v>
      </c>
      <c r="O23" s="77">
        <f t="shared" si="7"/>
        <v>29566868.414183959</v>
      </c>
      <c r="Q23" s="18"/>
      <c r="R23" s="18"/>
      <c r="S23" s="18"/>
      <c r="AE23" s="31"/>
      <c r="AF23" s="31"/>
      <c r="AG23" s="31"/>
      <c r="AH23" s="31"/>
      <c r="AI23" s="31"/>
    </row>
    <row r="24" spans="1:38" x14ac:dyDescent="0.35">
      <c r="A24" t="s">
        <v>90</v>
      </c>
      <c r="B24" s="76"/>
      <c r="C24" s="76"/>
      <c r="D24" s="76"/>
      <c r="F24" s="76">
        <v>52599709.761089981</v>
      </c>
      <c r="G24" s="76">
        <v>1304302405.6214709</v>
      </c>
      <c r="H24" s="76">
        <v>1356902115.382561</v>
      </c>
      <c r="I24" s="4">
        <f t="shared" si="1"/>
        <v>0.96123544273032524</v>
      </c>
      <c r="J24" s="91">
        <f t="shared" si="2"/>
        <v>0</v>
      </c>
      <c r="K24" s="91">
        <f t="shared" si="3"/>
        <v>0</v>
      </c>
      <c r="L24" s="77">
        <f t="shared" si="4"/>
        <v>0</v>
      </c>
      <c r="M24" s="77">
        <f t="shared" si="5"/>
        <v>144108.79386599993</v>
      </c>
      <c r="N24" s="77">
        <f t="shared" si="6"/>
        <v>3573431.2482780027</v>
      </c>
      <c r="O24" s="77">
        <f t="shared" si="7"/>
        <v>3717540.0421440029</v>
      </c>
      <c r="R24" s="18"/>
      <c r="S24" s="18"/>
      <c r="AE24" s="31"/>
      <c r="AF24" s="31"/>
      <c r="AG24" s="31"/>
      <c r="AH24" s="31"/>
      <c r="AI24" s="31"/>
    </row>
    <row r="25" spans="1:38" x14ac:dyDescent="0.35">
      <c r="A25" t="s">
        <v>91</v>
      </c>
      <c r="B25" s="76"/>
      <c r="C25" s="76">
        <v>931907197.05120015</v>
      </c>
      <c r="D25" s="76">
        <v>931907197.05120015</v>
      </c>
      <c r="E25" s="4">
        <f t="shared" si="0"/>
        <v>1</v>
      </c>
      <c r="F25" s="76">
        <v>146243904.90191996</v>
      </c>
      <c r="G25" s="76">
        <v>498283917.76929015</v>
      </c>
      <c r="H25" s="76">
        <v>644527822.67121005</v>
      </c>
      <c r="I25" s="4">
        <f t="shared" si="1"/>
        <v>0.77309915917078631</v>
      </c>
      <c r="J25" s="91">
        <f t="shared" si="2"/>
        <v>0</v>
      </c>
      <c r="K25" s="91">
        <f t="shared" si="3"/>
        <v>2553170.4028800004</v>
      </c>
      <c r="L25" s="77">
        <f t="shared" si="4"/>
        <v>2553170.4028800004</v>
      </c>
      <c r="M25" s="77">
        <f t="shared" si="5"/>
        <v>400668.23260799987</v>
      </c>
      <c r="N25" s="77">
        <f t="shared" si="6"/>
        <v>1365161.4185460005</v>
      </c>
      <c r="O25" s="77">
        <f t="shared" si="7"/>
        <v>1765829.6511540003</v>
      </c>
      <c r="Q25" s="18"/>
      <c r="R25" s="18"/>
      <c r="S25" s="18"/>
      <c r="AE25" s="31"/>
      <c r="AF25" s="31"/>
      <c r="AG25" s="31"/>
      <c r="AH25" s="31"/>
      <c r="AI25" s="31"/>
    </row>
    <row r="26" spans="1:38" x14ac:dyDescent="0.35">
      <c r="A26" t="s">
        <v>92</v>
      </c>
      <c r="B26" s="76"/>
      <c r="C26" s="76">
        <v>636101437.36583996</v>
      </c>
      <c r="D26" s="76">
        <v>636101437.36583996</v>
      </c>
      <c r="E26" s="4">
        <f t="shared" si="0"/>
        <v>1</v>
      </c>
      <c r="F26" s="76">
        <v>687547097.19989979</v>
      </c>
      <c r="G26" s="76">
        <v>1400608316.5481405</v>
      </c>
      <c r="H26" s="76">
        <v>2088155413.7480402</v>
      </c>
      <c r="I26" s="4">
        <f t="shared" si="1"/>
        <v>0.67073949923783782</v>
      </c>
      <c r="J26" s="91">
        <f t="shared" si="2"/>
        <v>0</v>
      </c>
      <c r="K26" s="91">
        <f t="shared" si="3"/>
        <v>1742743.664016</v>
      </c>
      <c r="L26" s="77">
        <f t="shared" si="4"/>
        <v>1742743.664016</v>
      </c>
      <c r="M26" s="77">
        <f t="shared" si="5"/>
        <v>1883690.6772599993</v>
      </c>
      <c r="N26" s="77">
        <f t="shared" si="6"/>
        <v>3837283.0590360016</v>
      </c>
      <c r="O26" s="77">
        <f t="shared" si="7"/>
        <v>5720973.7362960009</v>
      </c>
      <c r="Q26" s="18"/>
      <c r="R26" s="18"/>
      <c r="S26" s="18"/>
      <c r="AE26" s="31"/>
      <c r="AF26" s="31"/>
      <c r="AG26" s="31"/>
      <c r="AH26" s="31"/>
      <c r="AI26" s="31"/>
    </row>
    <row r="27" spans="1:38" x14ac:dyDescent="0.35">
      <c r="A27" t="s">
        <v>93</v>
      </c>
      <c r="B27" s="76"/>
      <c r="C27" s="76"/>
      <c r="D27" s="76"/>
      <c r="F27" s="76">
        <v>206649772.80368996</v>
      </c>
      <c r="G27" s="76">
        <v>907533516.66920984</v>
      </c>
      <c r="H27" s="76">
        <v>1114183289.4728999</v>
      </c>
      <c r="I27" s="4">
        <f t="shared" si="1"/>
        <v>0.81452802716018802</v>
      </c>
      <c r="J27" s="91">
        <f t="shared" si="2"/>
        <v>0</v>
      </c>
      <c r="K27" s="91">
        <f t="shared" si="3"/>
        <v>0</v>
      </c>
      <c r="L27" s="77">
        <f t="shared" si="4"/>
        <v>0</v>
      </c>
      <c r="M27" s="77">
        <f t="shared" si="5"/>
        <v>566163.76110599993</v>
      </c>
      <c r="N27" s="77">
        <f t="shared" si="6"/>
        <v>2486393.1963539994</v>
      </c>
      <c r="O27" s="77">
        <f t="shared" si="7"/>
        <v>3052556.9574599992</v>
      </c>
      <c r="R27" s="18"/>
      <c r="S27" s="18"/>
      <c r="AE27" s="31"/>
      <c r="AF27" s="31"/>
      <c r="AG27" s="31"/>
      <c r="AH27" s="31"/>
      <c r="AI27" s="31"/>
    </row>
    <row r="28" spans="1:38" x14ac:dyDescent="0.35">
      <c r="A28" t="s">
        <v>94</v>
      </c>
      <c r="B28" s="76"/>
      <c r="C28" s="76">
        <v>1799033764.1397009</v>
      </c>
      <c r="D28" s="76">
        <v>1799033764.1397009</v>
      </c>
      <c r="E28" s="4">
        <f t="shared" si="0"/>
        <v>1</v>
      </c>
      <c r="F28" s="76">
        <v>185537257.31361002</v>
      </c>
      <c r="G28" s="76">
        <v>741149540.31188989</v>
      </c>
      <c r="H28" s="76">
        <v>926686797.62549996</v>
      </c>
      <c r="I28" s="4">
        <f t="shared" si="1"/>
        <v>0.79978428764818676</v>
      </c>
      <c r="J28" s="91">
        <f t="shared" si="2"/>
        <v>0</v>
      </c>
      <c r="K28" s="91">
        <f t="shared" si="3"/>
        <v>4928859.6277800025</v>
      </c>
      <c r="L28" s="77">
        <f t="shared" si="4"/>
        <v>4928859.6277800025</v>
      </c>
      <c r="M28" s="77">
        <f t="shared" si="5"/>
        <v>508321.25291400007</v>
      </c>
      <c r="N28" s="77">
        <f t="shared" si="6"/>
        <v>2030546.6857859998</v>
      </c>
      <c r="O28" s="77">
        <f t="shared" si="7"/>
        <v>2538867.9386999998</v>
      </c>
      <c r="Q28" s="18"/>
      <c r="R28" s="18"/>
      <c r="S28" s="18"/>
      <c r="AE28" s="31"/>
      <c r="AF28" s="31"/>
      <c r="AG28" s="31"/>
      <c r="AH28" s="31"/>
      <c r="AI28" s="31"/>
    </row>
    <row r="29" spans="1:38" x14ac:dyDescent="0.35">
      <c r="A29" t="s">
        <v>95</v>
      </c>
      <c r="B29" s="76"/>
      <c r="C29" s="76">
        <v>190716862.61504999</v>
      </c>
      <c r="D29" s="76">
        <v>190716862.61504999</v>
      </c>
      <c r="E29" s="4">
        <f t="shared" si="0"/>
        <v>1</v>
      </c>
      <c r="F29" s="76">
        <v>19193574.685259998</v>
      </c>
      <c r="G29" s="76">
        <v>882748555.75233006</v>
      </c>
      <c r="H29" s="76">
        <v>901942130.43759012</v>
      </c>
      <c r="I29" s="4">
        <f t="shared" si="1"/>
        <v>0.97871972708942201</v>
      </c>
      <c r="J29" s="91">
        <f t="shared" si="2"/>
        <v>0</v>
      </c>
      <c r="K29" s="91">
        <f t="shared" si="3"/>
        <v>522511.95236999996</v>
      </c>
      <c r="L29" s="77">
        <f t="shared" si="4"/>
        <v>522511.95236999996</v>
      </c>
      <c r="M29" s="77">
        <f t="shared" si="5"/>
        <v>52585.136123999997</v>
      </c>
      <c r="N29" s="77">
        <f t="shared" si="6"/>
        <v>2418489.1938420003</v>
      </c>
      <c r="O29" s="77">
        <f t="shared" si="7"/>
        <v>2471074.3299660003</v>
      </c>
      <c r="Q29" s="18"/>
      <c r="R29" s="18"/>
      <c r="S29" s="18"/>
      <c r="AE29" s="31"/>
      <c r="AF29" s="31"/>
      <c r="AG29" s="31"/>
      <c r="AH29" s="31"/>
      <c r="AI29" s="31"/>
    </row>
    <row r="30" spans="1:38" x14ac:dyDescent="0.35">
      <c r="A30" t="s">
        <v>99</v>
      </c>
      <c r="B30" s="76">
        <v>77834271.876659989</v>
      </c>
      <c r="C30" s="76">
        <v>18205091287.088726</v>
      </c>
      <c r="D30" s="76">
        <v>18282925558.965385</v>
      </c>
      <c r="E30" s="4">
        <f t="shared" si="0"/>
        <v>0.99574278899590596</v>
      </c>
      <c r="F30" s="76">
        <v>5894641827.7977362</v>
      </c>
      <c r="G30" s="76">
        <v>34255274866.70829</v>
      </c>
      <c r="H30" s="76">
        <v>40149916694.506027</v>
      </c>
      <c r="I30" s="4">
        <f t="shared" si="1"/>
        <v>0.85318420776189707</v>
      </c>
      <c r="J30" s="91">
        <f t="shared" si="2"/>
        <v>213244.58048399998</v>
      </c>
      <c r="K30" s="91">
        <f t="shared" si="3"/>
        <v>49876962.430380069</v>
      </c>
      <c r="L30" s="77">
        <f t="shared" si="4"/>
        <v>50090207.010864072</v>
      </c>
      <c r="M30" s="77">
        <f t="shared" si="5"/>
        <v>16149703.637802016</v>
      </c>
      <c r="N30" s="77">
        <f t="shared" si="6"/>
        <v>93850068.127967924</v>
      </c>
      <c r="O30" s="77">
        <f t="shared" si="7"/>
        <v>109999771.76576994</v>
      </c>
      <c r="Q30" s="18"/>
      <c r="R30" s="18"/>
      <c r="S30" s="18"/>
      <c r="AE30" s="31"/>
      <c r="AF30" s="31"/>
      <c r="AG30" s="31"/>
      <c r="AH30" s="31"/>
      <c r="AI30" s="31"/>
    </row>
    <row r="31" spans="1:38" x14ac:dyDescent="0.35">
      <c r="A31" t="s">
        <v>439</v>
      </c>
      <c r="B31" s="78">
        <f>SUM(B5:B30)</f>
        <v>22970939475.155262</v>
      </c>
      <c r="C31" s="78">
        <f>SUM(C5:C30)</f>
        <v>84810282128.63504</v>
      </c>
      <c r="D31" s="78">
        <f>SUM(D5:D30)</f>
        <v>107781221603.79028</v>
      </c>
      <c r="E31" s="4">
        <f t="shared" si="0"/>
        <v>0.78687438188817638</v>
      </c>
      <c r="F31" s="78">
        <f>SUM(F5:F30)</f>
        <v>80355333027.809845</v>
      </c>
      <c r="G31" s="78">
        <f>SUM(G5:G30)</f>
        <v>117382500669.00574</v>
      </c>
      <c r="H31" s="78">
        <f>SUM(H5:H30)</f>
        <v>197737833696.81555</v>
      </c>
      <c r="I31" s="4">
        <f t="shared" si="1"/>
        <v>0.59362691739095408</v>
      </c>
      <c r="J31" s="76">
        <f>B31/366</f>
        <v>62762129.713538967</v>
      </c>
      <c r="K31" s="76">
        <f>C31/366</f>
        <v>231722082.31867498</v>
      </c>
      <c r="L31" s="76">
        <f>D31/366</f>
        <v>294484212.03221387</v>
      </c>
      <c r="M31" s="76">
        <f>F31/366</f>
        <v>219550090.23991761</v>
      </c>
      <c r="N31" s="76">
        <f>G31/366</f>
        <v>320717214.94263864</v>
      </c>
      <c r="O31" s="76">
        <f>H31/366</f>
        <v>540267305.18255615</v>
      </c>
      <c r="P31" s="18"/>
      <c r="T31" s="18"/>
      <c r="U31" s="18"/>
      <c r="V31" s="18"/>
      <c r="AE31" s="31"/>
      <c r="AF31" s="31"/>
      <c r="AG31" s="31"/>
      <c r="AH31" s="31"/>
      <c r="AI31" s="31"/>
      <c r="AJ31" s="31"/>
      <c r="AK31" s="31"/>
      <c r="AL31" s="31"/>
    </row>
    <row r="32" spans="1:38" s="32" customFormat="1" x14ac:dyDescent="0.35">
      <c r="B32" s="40"/>
      <c r="C32" s="40"/>
      <c r="D32" s="40"/>
      <c r="E32" s="30"/>
      <c r="F32" s="40"/>
      <c r="G32" s="40"/>
      <c r="H32" s="29"/>
      <c r="I32" s="30"/>
      <c r="AE32" s="10"/>
      <c r="AF32" s="10"/>
      <c r="AG32" s="10"/>
      <c r="AH32" s="10"/>
      <c r="AI32" s="10"/>
    </row>
    <row r="33" spans="1:12" s="5" customFormat="1" x14ac:dyDescent="0.35">
      <c r="A33" s="674" t="s">
        <v>128</v>
      </c>
      <c r="B33" s="675" t="s">
        <v>511</v>
      </c>
      <c r="C33" s="675"/>
      <c r="D33" s="675"/>
      <c r="E33" s="6"/>
      <c r="F33" s="46"/>
      <c r="G33" s="6"/>
      <c r="H33" s="6"/>
      <c r="I33" s="159"/>
      <c r="J33" s="46"/>
    </row>
    <row r="34" spans="1:12" s="5" customFormat="1" x14ac:dyDescent="0.35">
      <c r="A34" s="674"/>
      <c r="B34" s="6" t="s">
        <v>194</v>
      </c>
      <c r="C34" s="6" t="s">
        <v>127</v>
      </c>
      <c r="D34" s="6" t="s">
        <v>441</v>
      </c>
      <c r="E34" s="6"/>
      <c r="F34" s="46"/>
      <c r="G34" s="6"/>
      <c r="H34" s="6"/>
      <c r="I34" s="159"/>
      <c r="J34" s="46"/>
    </row>
    <row r="35" spans="1:12" s="3" customFormat="1" ht="14.9" customHeight="1" x14ac:dyDescent="0.35">
      <c r="A35" t="s">
        <v>71</v>
      </c>
      <c r="B35" s="69">
        <v>100.91829</v>
      </c>
      <c r="C35" s="13">
        <v>262.67143249999998</v>
      </c>
      <c r="D35" s="16">
        <f>C35/B35</f>
        <v>2.6028129539253984</v>
      </c>
      <c r="E35" s="16"/>
      <c r="F35" s="17"/>
      <c r="G35" s="15"/>
      <c r="H35" s="22"/>
      <c r="I35" s="13"/>
      <c r="J35" s="4"/>
      <c r="K35" s="25"/>
      <c r="L35" s="14"/>
    </row>
    <row r="36" spans="1:12" x14ac:dyDescent="0.35">
      <c r="A36" t="s">
        <v>72</v>
      </c>
      <c r="B36" s="13">
        <v>147.75354999999999</v>
      </c>
      <c r="C36" s="13">
        <v>252.8038525</v>
      </c>
      <c r="D36" s="16">
        <f t="shared" ref="D36:D60" si="8">C36/B36</f>
        <v>1.7109832724831318</v>
      </c>
      <c r="E36" s="16"/>
      <c r="F36" s="16"/>
      <c r="G36" s="15"/>
      <c r="H36" s="22"/>
      <c r="I36" s="13"/>
      <c r="J36" s="4"/>
      <c r="K36" s="26"/>
      <c r="L36" s="27"/>
    </row>
    <row r="37" spans="1:12" x14ac:dyDescent="0.35">
      <c r="A37" t="s">
        <v>73</v>
      </c>
      <c r="B37" s="13">
        <v>192.20528999999999</v>
      </c>
      <c r="C37" s="13">
        <v>507.51333149999999</v>
      </c>
      <c r="D37" s="16">
        <f t="shared" si="8"/>
        <v>2.6404753558031624</v>
      </c>
      <c r="E37" s="16"/>
      <c r="F37" s="16"/>
      <c r="G37" s="15"/>
      <c r="H37" s="22"/>
      <c r="I37" s="13"/>
      <c r="J37" s="4"/>
      <c r="L37" s="27"/>
    </row>
    <row r="38" spans="1:12" x14ac:dyDescent="0.35">
      <c r="A38" t="s">
        <v>74</v>
      </c>
      <c r="B38" s="13">
        <v>98.936049999999994</v>
      </c>
      <c r="C38" s="13">
        <v>123.3837904</v>
      </c>
      <c r="D38" s="16">
        <f t="shared" si="8"/>
        <v>1.2471064935379976</v>
      </c>
      <c r="E38" s="16"/>
      <c r="F38" s="16"/>
      <c r="G38" s="15"/>
      <c r="H38" s="22"/>
      <c r="I38" s="13"/>
      <c r="J38" s="4"/>
      <c r="L38" s="27"/>
    </row>
    <row r="39" spans="1:12" x14ac:dyDescent="0.35">
      <c r="A39" t="s">
        <v>75</v>
      </c>
      <c r="B39" s="13"/>
      <c r="C39" s="13"/>
      <c r="D39" s="16"/>
      <c r="E39" s="16"/>
      <c r="F39" s="16"/>
      <c r="G39" s="15"/>
      <c r="H39" s="22"/>
      <c r="I39" s="13"/>
      <c r="J39" s="4"/>
      <c r="L39" s="27"/>
    </row>
    <row r="40" spans="1:12" x14ac:dyDescent="0.35">
      <c r="A40" t="s">
        <v>76</v>
      </c>
      <c r="B40" s="13"/>
      <c r="C40" s="13"/>
      <c r="D40" s="16"/>
      <c r="E40" s="16"/>
      <c r="F40" s="16"/>
      <c r="G40" s="15"/>
      <c r="H40" s="22"/>
      <c r="I40" s="13"/>
      <c r="J40" s="4"/>
      <c r="L40" s="27"/>
    </row>
    <row r="41" spans="1:12" x14ac:dyDescent="0.35">
      <c r="A41" t="s">
        <v>77</v>
      </c>
      <c r="B41" s="13">
        <v>86.523949999999999</v>
      </c>
      <c r="C41" s="13">
        <v>105.83203039999999</v>
      </c>
      <c r="D41" s="16">
        <f t="shared" si="8"/>
        <v>1.2231530160146409</v>
      </c>
      <c r="E41" s="16"/>
      <c r="F41" s="16"/>
      <c r="G41" s="15"/>
      <c r="H41" s="22"/>
      <c r="I41" s="13"/>
      <c r="J41" s="4"/>
      <c r="L41" s="27"/>
    </row>
    <row r="42" spans="1:12" x14ac:dyDescent="0.35">
      <c r="A42" t="s">
        <v>78</v>
      </c>
      <c r="B42" s="13">
        <v>1713.5727199999999</v>
      </c>
      <c r="C42" s="13">
        <v>6241.6675539999997</v>
      </c>
      <c r="D42" s="16">
        <f t="shared" si="8"/>
        <v>3.6424876990338642</v>
      </c>
      <c r="E42" s="16"/>
      <c r="F42" s="16"/>
      <c r="G42" s="15"/>
      <c r="H42" s="22"/>
      <c r="I42" s="13"/>
      <c r="J42" s="4"/>
      <c r="L42" s="27"/>
    </row>
    <row r="43" spans="1:12" x14ac:dyDescent="0.35">
      <c r="A43" t="s">
        <v>79</v>
      </c>
      <c r="B43" s="13">
        <v>131.23523</v>
      </c>
      <c r="C43" s="13">
        <v>268.45830089999998</v>
      </c>
      <c r="D43" s="16">
        <f t="shared" si="8"/>
        <v>2.0456267794859655</v>
      </c>
      <c r="E43" s="16"/>
      <c r="F43" s="16"/>
      <c r="G43" s="15"/>
      <c r="H43" s="22"/>
      <c r="I43" s="13"/>
      <c r="J43" s="4"/>
      <c r="L43" s="27"/>
    </row>
    <row r="44" spans="1:12" x14ac:dyDescent="0.35">
      <c r="A44" t="s">
        <v>80</v>
      </c>
      <c r="B44" s="13"/>
      <c r="C44" s="13"/>
      <c r="D44" s="16"/>
      <c r="E44" s="16"/>
      <c r="F44" s="16"/>
      <c r="G44" s="15"/>
      <c r="H44" s="22"/>
      <c r="I44" s="13"/>
      <c r="J44" s="4"/>
      <c r="L44" s="27"/>
    </row>
    <row r="45" spans="1:12" x14ac:dyDescent="0.35">
      <c r="A45" t="s">
        <v>81</v>
      </c>
      <c r="B45" s="13"/>
      <c r="C45" s="13"/>
      <c r="D45" s="16"/>
      <c r="E45" s="16"/>
      <c r="F45" s="16"/>
      <c r="G45" s="15"/>
      <c r="H45" s="22"/>
      <c r="I45" s="13"/>
      <c r="J45" s="4"/>
      <c r="L45" s="27"/>
    </row>
    <row r="46" spans="1:12" x14ac:dyDescent="0.35">
      <c r="A46" t="s">
        <v>82</v>
      </c>
      <c r="B46" s="13">
        <v>658.21479999999997</v>
      </c>
      <c r="C46" s="13">
        <v>2102.222514</v>
      </c>
      <c r="D46" s="16">
        <f t="shared" si="8"/>
        <v>3.1938244384659842</v>
      </c>
      <c r="E46" s="16"/>
      <c r="F46" s="16"/>
      <c r="G46" s="15"/>
      <c r="H46" s="22"/>
      <c r="I46" s="13"/>
      <c r="J46" s="4"/>
      <c r="L46" s="27"/>
    </row>
    <row r="47" spans="1:12" x14ac:dyDescent="0.35">
      <c r="A47" t="s">
        <v>83</v>
      </c>
      <c r="B47" s="13">
        <v>73.251630000000006</v>
      </c>
      <c r="C47" s="13">
        <v>118.357026</v>
      </c>
      <c r="D47" s="16">
        <f t="shared" si="8"/>
        <v>1.6157596220043158</v>
      </c>
      <c r="E47" s="16"/>
      <c r="F47" s="16"/>
      <c r="G47" s="15"/>
      <c r="H47" s="22"/>
      <c r="I47" s="13"/>
      <c r="J47" s="4"/>
      <c r="L47" s="27"/>
    </row>
    <row r="48" spans="1:12" x14ac:dyDescent="0.35">
      <c r="A48" t="s">
        <v>84</v>
      </c>
      <c r="B48" s="13">
        <v>84.968180000000004</v>
      </c>
      <c r="C48" s="13">
        <v>183.6924922</v>
      </c>
      <c r="D48" s="16">
        <f t="shared" si="8"/>
        <v>2.1618974562006623</v>
      </c>
      <c r="E48" s="16"/>
      <c r="F48" s="16"/>
      <c r="G48" s="15"/>
      <c r="H48" s="22"/>
      <c r="I48" s="13"/>
      <c r="J48" s="4"/>
      <c r="L48" s="27"/>
    </row>
    <row r="49" spans="1:12" x14ac:dyDescent="0.35">
      <c r="A49" t="s">
        <v>85</v>
      </c>
      <c r="B49" s="13">
        <v>113.26527</v>
      </c>
      <c r="C49" s="13">
        <v>128.25212389999999</v>
      </c>
      <c r="D49" s="16">
        <f t="shared" si="8"/>
        <v>1.132316409963972</v>
      </c>
      <c r="E49" s="16"/>
      <c r="F49" s="16"/>
      <c r="G49" s="15"/>
      <c r="H49" s="22"/>
      <c r="I49" s="13"/>
      <c r="J49" s="4"/>
      <c r="L49" s="27"/>
    </row>
    <row r="50" spans="1:12" x14ac:dyDescent="0.35">
      <c r="A50" t="s">
        <v>86</v>
      </c>
      <c r="B50" s="13">
        <v>44.15954</v>
      </c>
      <c r="C50" s="13">
        <v>52.57264344</v>
      </c>
      <c r="D50" s="16">
        <f t="shared" si="8"/>
        <v>1.1905161022963555</v>
      </c>
      <c r="E50" s="16"/>
      <c r="F50" s="16"/>
      <c r="G50" s="15"/>
      <c r="H50" s="22"/>
      <c r="I50" s="13"/>
      <c r="J50" s="4"/>
      <c r="L50" s="27"/>
    </row>
    <row r="51" spans="1:12" x14ac:dyDescent="0.35">
      <c r="A51" t="s">
        <v>87</v>
      </c>
      <c r="B51" s="13">
        <v>226.98218</v>
      </c>
      <c r="C51" s="13">
        <v>416.60850579999999</v>
      </c>
      <c r="D51" s="16">
        <f t="shared" si="8"/>
        <v>1.8354238460481787</v>
      </c>
      <c r="E51" s="16"/>
      <c r="F51" s="16"/>
      <c r="G51" s="15"/>
      <c r="H51" s="22"/>
      <c r="I51" s="13"/>
      <c r="J51" s="4"/>
      <c r="L51" s="27"/>
    </row>
    <row r="52" spans="1:12" x14ac:dyDescent="0.35">
      <c r="A52" t="s">
        <v>88</v>
      </c>
      <c r="B52" s="13"/>
      <c r="C52" s="13"/>
      <c r="D52" s="16"/>
      <c r="E52" s="16"/>
      <c r="F52" s="16"/>
      <c r="G52" s="15"/>
      <c r="H52" s="22"/>
      <c r="I52" s="13"/>
      <c r="J52" s="4"/>
    </row>
    <row r="53" spans="1:12" x14ac:dyDescent="0.35">
      <c r="A53" t="s">
        <v>233</v>
      </c>
      <c r="B53" s="13">
        <v>537.16795999999999</v>
      </c>
      <c r="C53" s="13">
        <v>1081.1182080000001</v>
      </c>
      <c r="D53" s="16">
        <f t="shared" si="8"/>
        <v>2.0126260099355147</v>
      </c>
      <c r="E53" s="16"/>
      <c r="F53" s="16"/>
      <c r="G53" s="15"/>
      <c r="H53" s="22"/>
      <c r="I53" s="13"/>
      <c r="J53" s="4"/>
      <c r="L53" s="27"/>
    </row>
    <row r="54" spans="1:12" x14ac:dyDescent="0.35">
      <c r="A54" t="s">
        <v>90</v>
      </c>
      <c r="B54" s="13"/>
      <c r="C54" s="13"/>
      <c r="D54" s="16"/>
      <c r="E54" s="16"/>
      <c r="F54" s="16"/>
      <c r="G54" s="15"/>
      <c r="H54" s="22"/>
      <c r="I54" s="13"/>
      <c r="J54" s="4"/>
      <c r="L54" s="27"/>
    </row>
    <row r="55" spans="1:12" x14ac:dyDescent="0.35">
      <c r="A55" t="s">
        <v>91</v>
      </c>
      <c r="B55" s="13">
        <v>91.649760000000001</v>
      </c>
      <c r="C55" s="13">
        <v>96.576353740000002</v>
      </c>
      <c r="D55" s="16">
        <f t="shared" si="8"/>
        <v>1.0537545732798428</v>
      </c>
      <c r="E55" s="16"/>
      <c r="F55" s="16"/>
      <c r="G55" s="15"/>
      <c r="H55" s="22"/>
      <c r="I55" s="13"/>
      <c r="J55" s="4"/>
      <c r="L55" s="27"/>
    </row>
    <row r="56" spans="1:12" x14ac:dyDescent="0.35">
      <c r="A56" t="s">
        <v>92</v>
      </c>
      <c r="B56" s="13">
        <v>71.000280000000004</v>
      </c>
      <c r="C56" s="13">
        <v>76.147086580000007</v>
      </c>
      <c r="D56" s="16">
        <f t="shared" si="8"/>
        <v>1.0724899476452769</v>
      </c>
      <c r="E56" s="16"/>
      <c r="F56" s="16"/>
      <c r="G56" s="15"/>
      <c r="H56" s="22"/>
      <c r="I56" s="13"/>
      <c r="J56" s="4"/>
      <c r="L56" s="27"/>
    </row>
    <row r="57" spans="1:12" x14ac:dyDescent="0.35">
      <c r="A57" t="s">
        <v>93</v>
      </c>
      <c r="B57" s="13"/>
      <c r="C57" s="13"/>
      <c r="D57" s="16"/>
      <c r="E57" s="16"/>
      <c r="F57" s="16"/>
      <c r="G57" s="15"/>
      <c r="H57" s="22"/>
      <c r="I57" s="13"/>
      <c r="J57" s="4"/>
      <c r="L57" s="27"/>
    </row>
    <row r="58" spans="1:12" x14ac:dyDescent="0.35">
      <c r="A58" t="s">
        <v>94</v>
      </c>
      <c r="B58" s="13">
        <v>84.076300000000003</v>
      </c>
      <c r="C58" s="13">
        <v>113.3990912</v>
      </c>
      <c r="D58" s="16">
        <f t="shared" si="8"/>
        <v>1.3487640536036909</v>
      </c>
      <c r="E58" s="16"/>
      <c r="F58" s="16"/>
      <c r="G58" s="15"/>
      <c r="H58" s="22"/>
      <c r="I58" s="13"/>
      <c r="J58" s="4"/>
      <c r="L58" s="27"/>
    </row>
    <row r="59" spans="1:12" x14ac:dyDescent="0.35">
      <c r="A59" t="s">
        <v>95</v>
      </c>
      <c r="B59" s="13">
        <v>27.659929999999999</v>
      </c>
      <c r="C59" s="13">
        <v>33.344871640000001</v>
      </c>
      <c r="D59" s="16">
        <f t="shared" si="8"/>
        <v>1.2055298635969072</v>
      </c>
      <c r="E59" s="16"/>
      <c r="F59" s="16"/>
      <c r="G59" s="15"/>
      <c r="H59" s="22"/>
      <c r="I59" s="13"/>
      <c r="J59" s="4"/>
      <c r="L59" s="27"/>
    </row>
    <row r="60" spans="1:12" x14ac:dyDescent="0.35">
      <c r="A60" t="s">
        <v>99</v>
      </c>
      <c r="B60" s="13">
        <v>3327.2820099999999</v>
      </c>
      <c r="C60" s="13">
        <v>5302.6875410000002</v>
      </c>
      <c r="D60" s="16">
        <f t="shared" si="8"/>
        <v>1.5936994595177101</v>
      </c>
      <c r="E60" s="16"/>
      <c r="F60" s="16"/>
      <c r="G60" s="15"/>
      <c r="H60" s="22"/>
      <c r="I60" s="13"/>
      <c r="J60" s="4"/>
      <c r="L60" s="27"/>
    </row>
    <row r="61" spans="1:12" s="32" customFormat="1" x14ac:dyDescent="0.35">
      <c r="B61" s="41"/>
      <c r="F61" s="42"/>
      <c r="G61" s="40"/>
      <c r="H61" s="29"/>
      <c r="I61" s="30"/>
      <c r="K61" s="41"/>
    </row>
    <row r="62" spans="1:12" x14ac:dyDescent="0.35">
      <c r="B62" s="27"/>
      <c r="C62"/>
      <c r="D62"/>
      <c r="E62"/>
      <c r="F62" s="15"/>
      <c r="K62" s="27"/>
    </row>
    <row r="63" spans="1:12" x14ac:dyDescent="0.35">
      <c r="B63" s="27"/>
      <c r="C63"/>
      <c r="D63"/>
      <c r="E63"/>
      <c r="F63" s="15"/>
      <c r="K63" s="27"/>
    </row>
    <row r="64" spans="1:12" x14ac:dyDescent="0.35">
      <c r="B64" s="27"/>
      <c r="C64"/>
      <c r="D64"/>
      <c r="E64"/>
      <c r="F64" s="15"/>
      <c r="K64" s="27"/>
    </row>
    <row r="65" spans="2:6" x14ac:dyDescent="0.35">
      <c r="B65" s="27"/>
      <c r="C65"/>
      <c r="D65"/>
      <c r="E65"/>
      <c r="F65" s="15"/>
    </row>
    <row r="66" spans="2:6" x14ac:dyDescent="0.35">
      <c r="B66" s="27"/>
      <c r="C66"/>
      <c r="D66"/>
      <c r="E66"/>
      <c r="F66" s="15"/>
    </row>
    <row r="67" spans="2:6" x14ac:dyDescent="0.35">
      <c r="B67" s="27"/>
      <c r="C67"/>
      <c r="D67"/>
      <c r="E67"/>
      <c r="F67" s="15"/>
    </row>
    <row r="68" spans="2:6" x14ac:dyDescent="0.35">
      <c r="B68" s="27"/>
      <c r="C68"/>
      <c r="D68"/>
      <c r="E68"/>
      <c r="F68" s="15"/>
    </row>
    <row r="69" spans="2:6" x14ac:dyDescent="0.35">
      <c r="B69" s="27"/>
      <c r="C69"/>
      <c r="D69"/>
      <c r="E69"/>
      <c r="F69" s="15"/>
    </row>
    <row r="70" spans="2:6" x14ac:dyDescent="0.35">
      <c r="B70" s="27"/>
      <c r="C70"/>
      <c r="D70"/>
      <c r="E70"/>
      <c r="F70" s="15"/>
    </row>
    <row r="71" spans="2:6" x14ac:dyDescent="0.35">
      <c r="B71" s="27"/>
      <c r="C71"/>
      <c r="D71"/>
      <c r="E71"/>
      <c r="F71" s="15"/>
    </row>
    <row r="72" spans="2:6" x14ac:dyDescent="0.35">
      <c r="B72" s="27"/>
      <c r="C72"/>
      <c r="D72"/>
      <c r="E72"/>
      <c r="F72" s="15"/>
    </row>
    <row r="73" spans="2:6" x14ac:dyDescent="0.35">
      <c r="B73" s="27"/>
      <c r="C73"/>
      <c r="D73"/>
      <c r="E73"/>
      <c r="F73" s="15"/>
    </row>
    <row r="74" spans="2:6" x14ac:dyDescent="0.35">
      <c r="B74" s="27"/>
      <c r="C74"/>
      <c r="D74"/>
      <c r="E74"/>
      <c r="F74" s="15"/>
    </row>
    <row r="75" spans="2:6" x14ac:dyDescent="0.35">
      <c r="B75" s="27"/>
      <c r="C75"/>
      <c r="D75"/>
      <c r="E75"/>
      <c r="F75" s="15"/>
    </row>
    <row r="76" spans="2:6" x14ac:dyDescent="0.35">
      <c r="B76" s="27"/>
      <c r="C76"/>
      <c r="D76"/>
      <c r="E76"/>
      <c r="F76" s="15"/>
    </row>
    <row r="77" spans="2:6" x14ac:dyDescent="0.35">
      <c r="B77" s="27"/>
      <c r="C77"/>
      <c r="D77"/>
      <c r="E77"/>
      <c r="F77" s="15"/>
    </row>
    <row r="78" spans="2:6" x14ac:dyDescent="0.35">
      <c r="B78" s="27"/>
      <c r="C78"/>
      <c r="D78"/>
      <c r="E78"/>
      <c r="F78" s="15"/>
    </row>
    <row r="79" spans="2:6" x14ac:dyDescent="0.35">
      <c r="B79" s="27"/>
      <c r="C79"/>
      <c r="D79"/>
      <c r="E79"/>
      <c r="F79" s="15"/>
    </row>
    <row r="80" spans="2:6" x14ac:dyDescent="0.35">
      <c r="B80" s="27"/>
      <c r="C80"/>
      <c r="D80"/>
      <c r="E80"/>
      <c r="F80" s="15"/>
    </row>
    <row r="81" spans="2:6" x14ac:dyDescent="0.35">
      <c r="B81" s="27"/>
      <c r="C81"/>
      <c r="D81"/>
      <c r="E81"/>
      <c r="F81" s="15"/>
    </row>
    <row r="82" spans="2:6" x14ac:dyDescent="0.35">
      <c r="B82" s="27"/>
      <c r="C82"/>
      <c r="D82"/>
      <c r="E82"/>
      <c r="F82" s="15"/>
    </row>
    <row r="83" spans="2:6" x14ac:dyDescent="0.35">
      <c r="B83" s="27"/>
      <c r="C83"/>
      <c r="D83"/>
      <c r="E83"/>
      <c r="F83" s="15"/>
    </row>
    <row r="84" spans="2:6" x14ac:dyDescent="0.35">
      <c r="B84" s="27"/>
      <c r="C84"/>
      <c r="D84"/>
      <c r="E84"/>
      <c r="F84" s="15"/>
    </row>
    <row r="85" spans="2:6" x14ac:dyDescent="0.35">
      <c r="B85" s="27"/>
      <c r="C85"/>
      <c r="D85"/>
      <c r="E85"/>
      <c r="F85" s="15"/>
    </row>
    <row r="86" spans="2:6" x14ac:dyDescent="0.35">
      <c r="B86" s="27"/>
      <c r="C86"/>
      <c r="D86"/>
      <c r="E86"/>
      <c r="F86" s="15"/>
    </row>
    <row r="87" spans="2:6" x14ac:dyDescent="0.35">
      <c r="B87" s="27"/>
      <c r="C87"/>
      <c r="D87"/>
      <c r="E87"/>
      <c r="F87" s="15"/>
    </row>
    <row r="88" spans="2:6" x14ac:dyDescent="0.35">
      <c r="C88"/>
      <c r="D88"/>
      <c r="E88"/>
    </row>
    <row r="89" spans="2:6" x14ac:dyDescent="0.35">
      <c r="C89"/>
      <c r="D89"/>
      <c r="E89"/>
    </row>
    <row r="90" spans="2:6" x14ac:dyDescent="0.35">
      <c r="C90"/>
      <c r="D90"/>
      <c r="E90"/>
    </row>
    <row r="91" spans="2:6" x14ac:dyDescent="0.35">
      <c r="C91"/>
      <c r="D91"/>
      <c r="E91"/>
    </row>
    <row r="92" spans="2:6" x14ac:dyDescent="0.35">
      <c r="C92"/>
      <c r="D92"/>
      <c r="E92"/>
    </row>
    <row r="93" spans="2:6" x14ac:dyDescent="0.35">
      <c r="C93"/>
      <c r="D93"/>
      <c r="E93"/>
    </row>
    <row r="94" spans="2:6" x14ac:dyDescent="0.35">
      <c r="C94"/>
      <c r="D94"/>
      <c r="E94"/>
    </row>
  </sheetData>
  <mergeCells count="10">
    <mergeCell ref="B33:D33"/>
    <mergeCell ref="A33:A34"/>
    <mergeCell ref="T2:V2"/>
    <mergeCell ref="B3:E3"/>
    <mergeCell ref="F3:I3"/>
    <mergeCell ref="J3:L3"/>
    <mergeCell ref="M3:O3"/>
    <mergeCell ref="Q2:S2"/>
    <mergeCell ref="B2:I2"/>
    <mergeCell ref="J2:O2"/>
  </mergeCells>
  <pageMargins left="0.7" right="0.7" top="0.75" bottom="0.75" header="0.3" footer="0.3"/>
  <pageSetup orientation="portrait" r:id="rId1"/>
  <ignoredErrors>
    <ignoredError sqref="E31 I3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:AL90"/>
  <sheetViews>
    <sheetView workbookViewId="0"/>
  </sheetViews>
  <sheetFormatPr defaultRowHeight="14.5" x14ac:dyDescent="0.35"/>
  <cols>
    <col min="1" max="1" width="25.7265625" customWidth="1"/>
    <col min="2" max="4" width="15.7265625" style="18" customWidth="1"/>
    <col min="5" max="5" width="15.7265625" style="1" customWidth="1"/>
    <col min="6" max="8" width="15.7265625" style="12" customWidth="1"/>
    <col min="9" max="9" width="15.7265625" style="19" customWidth="1"/>
    <col min="10" max="10" width="14.7265625" style="12" customWidth="1"/>
    <col min="11" max="12" width="15.7265625" style="12" customWidth="1"/>
    <col min="13" max="13" width="14.7265625" style="13" customWidth="1"/>
    <col min="14" max="15" width="15.7265625" style="13" customWidth="1"/>
  </cols>
  <sheetData>
    <row r="1" spans="1:38" s="32" customFormat="1" x14ac:dyDescent="0.35">
      <c r="B1" s="38"/>
      <c r="C1" s="38"/>
      <c r="D1" s="38"/>
      <c r="E1" s="37"/>
      <c r="F1" s="11"/>
      <c r="G1" s="11"/>
      <c r="H1" s="11"/>
      <c r="I1" s="35"/>
      <c r="J1" s="11"/>
      <c r="K1" s="11"/>
      <c r="L1" s="11"/>
      <c r="M1" s="29"/>
      <c r="N1" s="29"/>
      <c r="O1" s="29"/>
    </row>
    <row r="2" spans="1:38" s="5" customFormat="1" x14ac:dyDescent="0.35">
      <c r="B2" s="676" t="s">
        <v>512</v>
      </c>
      <c r="C2" s="676"/>
      <c r="D2" s="676"/>
      <c r="E2" s="676"/>
      <c r="F2" s="676"/>
      <c r="G2" s="676"/>
      <c r="H2" s="676"/>
      <c r="I2" s="676"/>
      <c r="J2" s="677" t="s">
        <v>513</v>
      </c>
      <c r="K2" s="677"/>
      <c r="L2" s="677"/>
      <c r="M2" s="677"/>
      <c r="N2" s="677"/>
      <c r="O2" s="677"/>
      <c r="P2" s="6"/>
      <c r="Q2" s="676"/>
      <c r="R2" s="676"/>
      <c r="S2" s="676"/>
      <c r="T2" s="676"/>
      <c r="U2" s="676"/>
      <c r="V2" s="676"/>
      <c r="AE2" s="34"/>
      <c r="AF2" s="34"/>
      <c r="AG2" s="34"/>
      <c r="AH2" s="34"/>
      <c r="AI2" s="34"/>
      <c r="AJ2" s="34"/>
      <c r="AK2" s="34"/>
      <c r="AL2" s="34"/>
    </row>
    <row r="3" spans="1:38" s="6" customFormat="1" x14ac:dyDescent="0.35">
      <c r="A3" s="157" t="s">
        <v>128</v>
      </c>
      <c r="B3" s="677" t="s">
        <v>434</v>
      </c>
      <c r="C3" s="677"/>
      <c r="D3" s="677"/>
      <c r="E3" s="677"/>
      <c r="F3" s="676" t="s">
        <v>435</v>
      </c>
      <c r="G3" s="676"/>
      <c r="H3" s="676"/>
      <c r="I3" s="676"/>
      <c r="J3" s="677" t="s">
        <v>434</v>
      </c>
      <c r="K3" s="677"/>
      <c r="L3" s="677"/>
      <c r="M3" s="677" t="s">
        <v>435</v>
      </c>
      <c r="N3" s="677"/>
      <c r="O3" s="677"/>
      <c r="AE3" s="9"/>
      <c r="AF3" s="9"/>
      <c r="AG3" s="9"/>
      <c r="AH3" s="9"/>
      <c r="AI3" s="9"/>
      <c r="AJ3" s="9"/>
      <c r="AK3" s="9"/>
      <c r="AL3" s="9"/>
    </row>
    <row r="4" spans="1:38" s="6" customFormat="1" ht="29" x14ac:dyDescent="0.35">
      <c r="A4" s="157"/>
      <c r="B4" s="28" t="s">
        <v>436</v>
      </c>
      <c r="C4" s="28" t="s">
        <v>437</v>
      </c>
      <c r="D4" s="28" t="s">
        <v>438</v>
      </c>
      <c r="E4" s="28" t="s">
        <v>129</v>
      </c>
      <c r="F4" s="28" t="s">
        <v>436</v>
      </c>
      <c r="G4" s="28" t="s">
        <v>437</v>
      </c>
      <c r="H4" s="28" t="s">
        <v>438</v>
      </c>
      <c r="I4" s="28" t="s">
        <v>129</v>
      </c>
      <c r="J4" s="28" t="s">
        <v>160</v>
      </c>
      <c r="K4" s="28" t="s">
        <v>159</v>
      </c>
      <c r="L4" s="28" t="s">
        <v>161</v>
      </c>
      <c r="M4" s="28" t="s">
        <v>160</v>
      </c>
      <c r="N4" s="28" t="s">
        <v>159</v>
      </c>
      <c r="O4" s="28" t="s">
        <v>161</v>
      </c>
      <c r="AE4" s="9"/>
      <c r="AF4" s="9"/>
      <c r="AG4" s="9"/>
      <c r="AH4" s="9"/>
      <c r="AI4" s="9"/>
      <c r="AJ4" s="9"/>
      <c r="AK4" s="9"/>
      <c r="AL4" s="9"/>
    </row>
    <row r="5" spans="1:38" x14ac:dyDescent="0.35">
      <c r="A5" t="s">
        <v>71</v>
      </c>
      <c r="B5" s="78">
        <v>27268551.031349998</v>
      </c>
      <c r="C5" s="78">
        <v>484657634.12973011</v>
      </c>
      <c r="D5" s="78">
        <v>511926185.16108012</v>
      </c>
      <c r="E5" s="2">
        <f>C5/D5</f>
        <v>0.94673343184668346</v>
      </c>
      <c r="F5" s="76">
        <v>38420006.459549993</v>
      </c>
      <c r="G5" s="78">
        <v>572321027.34579015</v>
      </c>
      <c r="H5" s="78">
        <v>610741033.80534017</v>
      </c>
      <c r="I5" s="2">
        <f>G5/H5</f>
        <v>0.9370928031146577</v>
      </c>
      <c r="J5" s="91">
        <f t="shared" ref="J5:K11" si="0">B5/365</f>
        <v>74708.358989999993</v>
      </c>
      <c r="K5" s="91">
        <f t="shared" si="0"/>
        <v>1327829.1346020002</v>
      </c>
      <c r="L5" s="77">
        <f t="shared" ref="L5:L11" si="1">J5+K5</f>
        <v>1402537.4935920003</v>
      </c>
      <c r="M5" s="77">
        <f t="shared" ref="M5:N11" si="2">F5/365</f>
        <v>105260.29166999998</v>
      </c>
      <c r="N5" s="77">
        <f t="shared" si="2"/>
        <v>1568002.8146460005</v>
      </c>
      <c r="O5" s="77">
        <f t="shared" ref="O5:O11" si="3">M5+N5</f>
        <v>1673263.1063160005</v>
      </c>
      <c r="Q5" s="18"/>
      <c r="R5" s="18"/>
      <c r="S5" s="18"/>
      <c r="AE5" s="31"/>
      <c r="AF5" s="31"/>
      <c r="AG5" s="31"/>
      <c r="AH5" s="31"/>
      <c r="AI5" s="31"/>
    </row>
    <row r="6" spans="1:38" x14ac:dyDescent="0.35">
      <c r="A6" t="s">
        <v>72</v>
      </c>
      <c r="B6" s="78">
        <v>47910558.211799994</v>
      </c>
      <c r="C6" s="78">
        <v>1165934001.3645902</v>
      </c>
      <c r="D6" s="78">
        <v>1213844559.5763903</v>
      </c>
      <c r="E6" s="2">
        <f t="shared" ref="E6:E31" si="4">C6/D6</f>
        <v>0.9605299065404882</v>
      </c>
      <c r="F6" s="76">
        <v>232106213.70929995</v>
      </c>
      <c r="G6" s="78">
        <v>678908187.68291998</v>
      </c>
      <c r="H6" s="78">
        <v>911014401.3922199</v>
      </c>
      <c r="I6" s="2">
        <f t="shared" ref="I6:I31" si="5">G6/H6</f>
        <v>0.74522223429773093</v>
      </c>
      <c r="J6" s="91">
        <f t="shared" si="0"/>
        <v>131261.80331999998</v>
      </c>
      <c r="K6" s="91">
        <f t="shared" si="0"/>
        <v>3194339.7297660005</v>
      </c>
      <c r="L6" s="77">
        <f t="shared" si="1"/>
        <v>3325601.5330860005</v>
      </c>
      <c r="M6" s="77">
        <f t="shared" si="2"/>
        <v>635907.43481999985</v>
      </c>
      <c r="N6" s="77">
        <f t="shared" si="2"/>
        <v>1860022.4320079999</v>
      </c>
      <c r="O6" s="77">
        <f t="shared" si="3"/>
        <v>2495929.8668279997</v>
      </c>
      <c r="Q6" s="18"/>
      <c r="R6" s="18"/>
      <c r="S6" s="18"/>
      <c r="AE6" s="31"/>
      <c r="AF6" s="31"/>
      <c r="AG6" s="31"/>
      <c r="AH6" s="31"/>
      <c r="AI6" s="31"/>
    </row>
    <row r="7" spans="1:38" x14ac:dyDescent="0.35">
      <c r="A7" t="s">
        <v>73</v>
      </c>
      <c r="B7" s="78">
        <v>1805031589.66593</v>
      </c>
      <c r="C7" s="78">
        <v>4141072087.2999597</v>
      </c>
      <c r="D7" s="78">
        <v>5946103676.9658899</v>
      </c>
      <c r="E7" s="2">
        <f t="shared" si="4"/>
        <v>0.6964345582035022</v>
      </c>
      <c r="F7" s="76">
        <v>6114093859.5832548</v>
      </c>
      <c r="G7" s="78">
        <v>7135077855.6915522</v>
      </c>
      <c r="H7" s="78">
        <v>13249171715.274807</v>
      </c>
      <c r="I7" s="2">
        <f t="shared" si="5"/>
        <v>0.53853010656248113</v>
      </c>
      <c r="J7" s="91">
        <f t="shared" si="0"/>
        <v>4945292.026482</v>
      </c>
      <c r="K7" s="91">
        <f t="shared" si="0"/>
        <v>11345402.978904</v>
      </c>
      <c r="L7" s="77">
        <f t="shared" si="1"/>
        <v>16290695.005385999</v>
      </c>
      <c r="M7" s="77">
        <f t="shared" si="2"/>
        <v>16750942.081050012</v>
      </c>
      <c r="N7" s="77">
        <f t="shared" si="2"/>
        <v>19548158.508743979</v>
      </c>
      <c r="O7" s="77">
        <f t="shared" si="3"/>
        <v>36299100.589793995</v>
      </c>
      <c r="Q7" s="18"/>
      <c r="R7" s="18"/>
      <c r="S7" s="18"/>
      <c r="AE7" s="31"/>
      <c r="AF7" s="31"/>
      <c r="AG7" s="31"/>
      <c r="AH7" s="31"/>
      <c r="AI7" s="31"/>
    </row>
    <row r="8" spans="1:38" x14ac:dyDescent="0.35">
      <c r="A8" t="s">
        <v>74</v>
      </c>
      <c r="B8" s="78">
        <v>120553012.51263002</v>
      </c>
      <c r="C8" s="78">
        <v>1571468627.2715101</v>
      </c>
      <c r="D8" s="78">
        <v>1692021639.7841401</v>
      </c>
      <c r="E8" s="2">
        <f t="shared" si="4"/>
        <v>0.92875208586102387</v>
      </c>
      <c r="F8" s="76">
        <v>924494319.63174021</v>
      </c>
      <c r="G8" s="78">
        <v>2011954797.6615005</v>
      </c>
      <c r="H8" s="78">
        <v>2936449117.2932405</v>
      </c>
      <c r="I8" s="2">
        <f t="shared" si="5"/>
        <v>0.68516589843589037</v>
      </c>
      <c r="J8" s="91">
        <f t="shared" si="0"/>
        <v>330282.22606200003</v>
      </c>
      <c r="K8" s="91">
        <f t="shared" si="0"/>
        <v>4305393.4993740004</v>
      </c>
      <c r="L8" s="77">
        <f t="shared" si="1"/>
        <v>4635675.7254360002</v>
      </c>
      <c r="M8" s="77">
        <f t="shared" si="2"/>
        <v>2532861.1496760007</v>
      </c>
      <c r="N8" s="77">
        <f t="shared" si="2"/>
        <v>5512204.9251000015</v>
      </c>
      <c r="O8" s="77">
        <f t="shared" si="3"/>
        <v>8045066.0747760022</v>
      </c>
      <c r="Q8" s="18"/>
      <c r="R8" s="18"/>
      <c r="S8" s="18"/>
      <c r="AE8" s="31"/>
      <c r="AF8" s="31"/>
      <c r="AG8" s="31"/>
      <c r="AH8" s="31"/>
      <c r="AI8" s="31"/>
    </row>
    <row r="9" spans="1:38" x14ac:dyDescent="0.35">
      <c r="A9" t="s">
        <v>75</v>
      </c>
      <c r="B9" s="78"/>
      <c r="C9" s="78"/>
      <c r="D9" s="78"/>
      <c r="E9" s="2"/>
      <c r="F9" s="76">
        <v>994192222.9667697</v>
      </c>
      <c r="G9" s="78">
        <v>1006059658.8880495</v>
      </c>
      <c r="H9" s="78">
        <v>2000251881.8548193</v>
      </c>
      <c r="I9" s="2">
        <f t="shared" si="5"/>
        <v>0.50296648537840016</v>
      </c>
      <c r="J9" s="91">
        <f t="shared" si="0"/>
        <v>0</v>
      </c>
      <c r="K9" s="91">
        <f t="shared" si="0"/>
        <v>0</v>
      </c>
      <c r="L9" s="77">
        <f t="shared" si="1"/>
        <v>0</v>
      </c>
      <c r="M9" s="77">
        <f t="shared" si="2"/>
        <v>2723814.309497999</v>
      </c>
      <c r="N9" s="77">
        <f t="shared" si="2"/>
        <v>2756327.8325699987</v>
      </c>
      <c r="O9" s="77">
        <f t="shared" si="3"/>
        <v>5480142.1420679977</v>
      </c>
      <c r="R9" s="18"/>
      <c r="S9" s="18"/>
      <c r="AE9" s="31"/>
      <c r="AF9" s="31"/>
      <c r="AG9" s="31"/>
      <c r="AH9" s="31"/>
      <c r="AI9" s="31"/>
    </row>
    <row r="10" spans="1:38" x14ac:dyDescent="0.35">
      <c r="A10" t="s">
        <v>76</v>
      </c>
      <c r="B10" s="78"/>
      <c r="C10" s="78"/>
      <c r="D10" s="78"/>
      <c r="E10" s="2"/>
      <c r="F10" s="76">
        <v>142358746.51179001</v>
      </c>
      <c r="G10" s="78">
        <v>1015203284.2168199</v>
      </c>
      <c r="H10" s="78">
        <v>1157562030.7286098</v>
      </c>
      <c r="I10" s="2">
        <f t="shared" si="5"/>
        <v>0.87701847267555555</v>
      </c>
      <c r="J10" s="91">
        <f t="shared" si="0"/>
        <v>0</v>
      </c>
      <c r="K10" s="91">
        <f t="shared" si="0"/>
        <v>0</v>
      </c>
      <c r="L10" s="77">
        <f t="shared" si="1"/>
        <v>0</v>
      </c>
      <c r="M10" s="77">
        <f t="shared" si="2"/>
        <v>390023.96304600005</v>
      </c>
      <c r="N10" s="77">
        <f t="shared" si="2"/>
        <v>2781378.8608679995</v>
      </c>
      <c r="O10" s="77">
        <f t="shared" si="3"/>
        <v>3171402.8239139994</v>
      </c>
      <c r="R10" s="18"/>
      <c r="S10" s="18"/>
      <c r="AE10" s="31"/>
      <c r="AF10" s="31"/>
      <c r="AG10" s="31"/>
      <c r="AH10" s="31"/>
      <c r="AI10" s="31"/>
    </row>
    <row r="11" spans="1:38" x14ac:dyDescent="0.35">
      <c r="A11" t="s">
        <v>77</v>
      </c>
      <c r="B11" s="78"/>
      <c r="C11" s="78">
        <v>840423045.85520971</v>
      </c>
      <c r="D11" s="78">
        <v>840423045.85520971</v>
      </c>
      <c r="E11" s="2">
        <f t="shared" si="4"/>
        <v>1</v>
      </c>
      <c r="F11" s="76">
        <v>99170160.039000019</v>
      </c>
      <c r="G11" s="78">
        <v>1822762262.1186614</v>
      </c>
      <c r="H11" s="78">
        <v>1921932422.1576614</v>
      </c>
      <c r="I11" s="2">
        <f t="shared" si="5"/>
        <v>0.94840080801193494</v>
      </c>
      <c r="J11" s="91">
        <f t="shared" si="0"/>
        <v>0</v>
      </c>
      <c r="K11" s="91">
        <f t="shared" si="0"/>
        <v>2302528.8927539992</v>
      </c>
      <c r="L11" s="77">
        <f t="shared" si="1"/>
        <v>2302528.8927539992</v>
      </c>
      <c r="M11" s="77">
        <f t="shared" si="2"/>
        <v>271699.06860000006</v>
      </c>
      <c r="N11" s="77">
        <f t="shared" si="2"/>
        <v>4993869.2112840042</v>
      </c>
      <c r="O11" s="77">
        <f t="shared" si="3"/>
        <v>5265568.279884004</v>
      </c>
      <c r="Q11" s="18"/>
      <c r="R11" s="18"/>
      <c r="S11" s="18"/>
      <c r="AE11" s="31"/>
      <c r="AF11" s="31"/>
      <c r="AG11" s="31"/>
      <c r="AH11" s="31"/>
      <c r="AI11" s="31"/>
    </row>
    <row r="12" spans="1:38" x14ac:dyDescent="0.35">
      <c r="A12" t="s">
        <v>78</v>
      </c>
      <c r="B12" s="78">
        <v>8859501660.6609383</v>
      </c>
      <c r="C12" s="78">
        <v>23435699862.027069</v>
      </c>
      <c r="D12" s="78">
        <v>32295201522.688007</v>
      </c>
      <c r="E12" s="2">
        <f t="shared" si="4"/>
        <v>0.72567126870420773</v>
      </c>
      <c r="F12" s="76">
        <v>28178866675.716484</v>
      </c>
      <c r="G12" s="78">
        <v>22014359997.137268</v>
      </c>
      <c r="H12" s="78">
        <v>50193226672.853752</v>
      </c>
      <c r="I12" s="2">
        <f t="shared" si="5"/>
        <v>0.43859224553585835</v>
      </c>
      <c r="J12" s="91">
        <f t="shared" ref="J12:J19" si="6">B12/365</f>
        <v>24272607.289482024</v>
      </c>
      <c r="K12" s="91">
        <f t="shared" ref="K12:K19" si="7">C12/365</f>
        <v>64207396.88226594</v>
      </c>
      <c r="L12" s="77">
        <f t="shared" ref="L12:L19" si="8">J12+K12</f>
        <v>88480004.171747968</v>
      </c>
      <c r="M12" s="77">
        <f t="shared" ref="M12:M19" si="9">F12/365</f>
        <v>77202374.454017758</v>
      </c>
      <c r="N12" s="77">
        <f t="shared" ref="N12:N19" si="10">G12/365</f>
        <v>60313315.060650051</v>
      </c>
      <c r="O12" s="77">
        <f t="shared" ref="O12:O19" si="11">M12+N12</f>
        <v>137515689.51466781</v>
      </c>
      <c r="Q12" s="18"/>
      <c r="R12" s="18"/>
      <c r="S12" s="18"/>
      <c r="AE12" s="31"/>
      <c r="AF12" s="31"/>
      <c r="AG12" s="31"/>
      <c r="AH12" s="31"/>
      <c r="AI12" s="31"/>
    </row>
    <row r="13" spans="1:38" x14ac:dyDescent="0.35">
      <c r="A13" t="s">
        <v>79</v>
      </c>
      <c r="B13" s="78">
        <v>527630866.00424993</v>
      </c>
      <c r="C13" s="78">
        <v>2263101598.7858706</v>
      </c>
      <c r="D13" s="78">
        <v>2790732464.7901206</v>
      </c>
      <c r="E13" s="2">
        <f t="shared" si="4"/>
        <v>0.81093463000799293</v>
      </c>
      <c r="F13" s="76">
        <v>2289775733.7516308</v>
      </c>
      <c r="G13" s="78">
        <v>1878718314.5724304</v>
      </c>
      <c r="H13" s="78">
        <v>4168494048.3240614</v>
      </c>
      <c r="I13" s="2">
        <f t="shared" si="5"/>
        <v>0.45069473358796497</v>
      </c>
      <c r="J13" s="91">
        <f t="shared" si="6"/>
        <v>1445564.0164499998</v>
      </c>
      <c r="K13" s="91">
        <f t="shared" si="7"/>
        <v>6200278.3528380012</v>
      </c>
      <c r="L13" s="77">
        <f t="shared" si="8"/>
        <v>7645842.3692880012</v>
      </c>
      <c r="M13" s="77">
        <f t="shared" si="9"/>
        <v>6273358.1746620024</v>
      </c>
      <c r="N13" s="77">
        <f t="shared" si="10"/>
        <v>5147173.4645820009</v>
      </c>
      <c r="O13" s="77">
        <f t="shared" si="11"/>
        <v>11420531.639244003</v>
      </c>
      <c r="Q13" s="18"/>
      <c r="R13" s="18"/>
      <c r="S13" s="18"/>
      <c r="AE13" s="31"/>
      <c r="AF13" s="31"/>
      <c r="AG13" s="31"/>
      <c r="AH13" s="31"/>
      <c r="AI13" s="31"/>
    </row>
    <row r="14" spans="1:38" x14ac:dyDescent="0.35">
      <c r="A14" t="s">
        <v>80</v>
      </c>
      <c r="B14" s="78"/>
      <c r="C14" s="78"/>
      <c r="D14" s="78"/>
      <c r="E14" s="2"/>
      <c r="F14" s="76">
        <v>232960062.79004994</v>
      </c>
      <c r="G14" s="78">
        <v>814604430.85478973</v>
      </c>
      <c r="H14" s="78">
        <v>1047564493.6448396</v>
      </c>
      <c r="I14" s="2">
        <f t="shared" si="5"/>
        <v>0.77761745056908027</v>
      </c>
      <c r="J14" s="91">
        <f t="shared" si="6"/>
        <v>0</v>
      </c>
      <c r="K14" s="91">
        <f t="shared" si="7"/>
        <v>0</v>
      </c>
      <c r="L14" s="77">
        <f t="shared" si="8"/>
        <v>0</v>
      </c>
      <c r="M14" s="77">
        <f t="shared" si="9"/>
        <v>638246.74736999988</v>
      </c>
      <c r="N14" s="77">
        <f t="shared" si="10"/>
        <v>2231792.9612459992</v>
      </c>
      <c r="O14" s="77">
        <f t="shared" si="11"/>
        <v>2870039.7086159992</v>
      </c>
      <c r="R14" s="18"/>
      <c r="S14" s="18"/>
      <c r="AE14" s="31"/>
      <c r="AF14" s="31"/>
      <c r="AG14" s="31"/>
      <c r="AH14" s="31"/>
      <c r="AI14" s="31"/>
    </row>
    <row r="15" spans="1:38" x14ac:dyDescent="0.35">
      <c r="A15" t="s">
        <v>81</v>
      </c>
      <c r="B15" s="78"/>
      <c r="C15" s="78"/>
      <c r="D15" s="78"/>
      <c r="E15" s="2"/>
      <c r="F15" s="76">
        <v>2084076610.636981</v>
      </c>
      <c r="G15" s="78">
        <v>2379340697.7239995</v>
      </c>
      <c r="H15" s="78">
        <v>4463417308.360981</v>
      </c>
      <c r="I15" s="2">
        <f t="shared" si="5"/>
        <v>0.53307601179637876</v>
      </c>
      <c r="J15" s="91">
        <f t="shared" si="6"/>
        <v>0</v>
      </c>
      <c r="K15" s="91">
        <f t="shared" si="7"/>
        <v>0</v>
      </c>
      <c r="L15" s="77">
        <f t="shared" si="8"/>
        <v>0</v>
      </c>
      <c r="M15" s="77">
        <f t="shared" si="9"/>
        <v>5709798.933252003</v>
      </c>
      <c r="N15" s="77">
        <f t="shared" si="10"/>
        <v>6518741.6375999991</v>
      </c>
      <c r="O15" s="77">
        <f t="shared" si="11"/>
        <v>12228540.570852002</v>
      </c>
      <c r="R15" s="18"/>
      <c r="S15" s="18"/>
      <c r="AE15" s="31"/>
      <c r="AF15" s="31"/>
      <c r="AG15" s="31"/>
      <c r="AH15" s="31"/>
      <c r="AI15" s="31"/>
    </row>
    <row r="16" spans="1:38" x14ac:dyDescent="0.35">
      <c r="A16" t="s">
        <v>82</v>
      </c>
      <c r="B16" s="78">
        <v>9086067696.1245956</v>
      </c>
      <c r="C16" s="78">
        <v>11116162557.414721</v>
      </c>
      <c r="D16" s="78">
        <v>20202230253.539314</v>
      </c>
      <c r="E16" s="2">
        <f t="shared" si="4"/>
        <v>0.55024432539903523</v>
      </c>
      <c r="F16" s="76">
        <v>17298229106.494591</v>
      </c>
      <c r="G16" s="78">
        <v>17734214222.076614</v>
      </c>
      <c r="H16" s="78">
        <v>35032443328.571205</v>
      </c>
      <c r="I16" s="2">
        <f t="shared" si="5"/>
        <v>0.50622259074956455</v>
      </c>
      <c r="J16" s="91">
        <f t="shared" si="6"/>
        <v>24893336.153766014</v>
      </c>
      <c r="K16" s="91">
        <f t="shared" si="7"/>
        <v>30455239.883328002</v>
      </c>
      <c r="L16" s="77">
        <f t="shared" si="8"/>
        <v>55348576.037094012</v>
      </c>
      <c r="M16" s="77">
        <f t="shared" si="9"/>
        <v>47392408.510944083</v>
      </c>
      <c r="N16" s="77">
        <f t="shared" si="10"/>
        <v>48586888.279661961</v>
      </c>
      <c r="O16" s="77">
        <f t="shared" si="11"/>
        <v>95979296.790606052</v>
      </c>
      <c r="Q16" s="18"/>
      <c r="R16" s="18"/>
      <c r="S16" s="18"/>
      <c r="AE16" s="31"/>
      <c r="AF16" s="31"/>
      <c r="AG16" s="31"/>
      <c r="AH16" s="31"/>
      <c r="AI16" s="31"/>
    </row>
    <row r="17" spans="1:38" x14ac:dyDescent="0.35">
      <c r="A17" t="s">
        <v>83</v>
      </c>
      <c r="B17" s="78"/>
      <c r="C17" s="78">
        <v>1631730797.0027106</v>
      </c>
      <c r="D17" s="78">
        <v>1631730797.0027106</v>
      </c>
      <c r="E17" s="2">
        <f t="shared" si="4"/>
        <v>1</v>
      </c>
      <c r="F17" s="76">
        <v>151997279.80305001</v>
      </c>
      <c r="G17" s="78">
        <v>1493742525.6268494</v>
      </c>
      <c r="H17" s="78">
        <v>1645739805.4298995</v>
      </c>
      <c r="I17" s="2">
        <f t="shared" si="5"/>
        <v>0.90764197396116009</v>
      </c>
      <c r="J17" s="91">
        <f t="shared" si="6"/>
        <v>0</v>
      </c>
      <c r="K17" s="91">
        <f t="shared" si="7"/>
        <v>4470495.3342540013</v>
      </c>
      <c r="L17" s="77">
        <f t="shared" si="8"/>
        <v>4470495.3342540013</v>
      </c>
      <c r="M17" s="77">
        <f t="shared" si="9"/>
        <v>416430.90357000002</v>
      </c>
      <c r="N17" s="77">
        <f t="shared" si="10"/>
        <v>4092445.2756899982</v>
      </c>
      <c r="O17" s="77">
        <f t="shared" si="11"/>
        <v>4508876.1792599978</v>
      </c>
      <c r="Q17" s="18"/>
      <c r="R17" s="18"/>
      <c r="S17" s="18"/>
      <c r="AE17" s="31"/>
      <c r="AF17" s="31"/>
      <c r="AG17" s="31"/>
      <c r="AH17" s="31"/>
      <c r="AI17" s="31"/>
    </row>
    <row r="18" spans="1:38" x14ac:dyDescent="0.35">
      <c r="A18" t="s">
        <v>84</v>
      </c>
      <c r="B18" s="78">
        <v>12350343.8598</v>
      </c>
      <c r="C18" s="78">
        <v>655165942.26585007</v>
      </c>
      <c r="D18" s="78">
        <v>667516286.12565005</v>
      </c>
      <c r="E18" s="2">
        <f t="shared" si="4"/>
        <v>0.98149806361806846</v>
      </c>
      <c r="F18" s="76">
        <v>156376410.33582002</v>
      </c>
      <c r="G18" s="78">
        <v>755139479.35350025</v>
      </c>
      <c r="H18" s="78">
        <v>911515889.68932033</v>
      </c>
      <c r="I18" s="2">
        <f t="shared" si="5"/>
        <v>0.82844357174166305</v>
      </c>
      <c r="J18" s="91">
        <f t="shared" si="6"/>
        <v>33836.558519999999</v>
      </c>
      <c r="K18" s="91">
        <f t="shared" si="7"/>
        <v>1794975.1842900002</v>
      </c>
      <c r="L18" s="77">
        <f t="shared" si="8"/>
        <v>1828811.7428100002</v>
      </c>
      <c r="M18" s="77">
        <f t="shared" si="9"/>
        <v>428428.52146800008</v>
      </c>
      <c r="N18" s="77">
        <f t="shared" si="10"/>
        <v>2068875.2859000007</v>
      </c>
      <c r="O18" s="77">
        <f t="shared" si="11"/>
        <v>2497303.807368001</v>
      </c>
      <c r="Q18" s="18"/>
      <c r="R18" s="18"/>
      <c r="S18" s="18"/>
      <c r="AE18" s="31"/>
      <c r="AF18" s="31"/>
      <c r="AG18" s="31"/>
      <c r="AH18" s="31"/>
      <c r="AI18" s="31"/>
    </row>
    <row r="19" spans="1:38" x14ac:dyDescent="0.35">
      <c r="A19" t="s">
        <v>85</v>
      </c>
      <c r="B19" s="78"/>
      <c r="C19" s="78">
        <v>1221268251.9232202</v>
      </c>
      <c r="D19" s="78">
        <v>1221268251.9232202</v>
      </c>
      <c r="E19" s="2">
        <f t="shared" si="4"/>
        <v>1</v>
      </c>
      <c r="F19" s="76">
        <v>418397287.02690005</v>
      </c>
      <c r="G19" s="78">
        <v>1222730726.2888801</v>
      </c>
      <c r="H19" s="78">
        <v>1641128013.3157802</v>
      </c>
      <c r="I19" s="2">
        <f t="shared" si="5"/>
        <v>0.74505505747747325</v>
      </c>
      <c r="J19" s="91">
        <f t="shared" si="6"/>
        <v>0</v>
      </c>
      <c r="K19" s="91">
        <f t="shared" si="7"/>
        <v>3345940.4162280005</v>
      </c>
      <c r="L19" s="77">
        <f t="shared" si="8"/>
        <v>3345940.4162280005</v>
      </c>
      <c r="M19" s="77">
        <f t="shared" si="9"/>
        <v>1146293.9370600001</v>
      </c>
      <c r="N19" s="77">
        <f t="shared" si="10"/>
        <v>3349947.1953120003</v>
      </c>
      <c r="O19" s="77">
        <f t="shared" si="11"/>
        <v>4496241.1323720003</v>
      </c>
      <c r="Q19" s="18"/>
      <c r="R19" s="18"/>
      <c r="S19" s="18"/>
      <c r="AE19" s="31"/>
      <c r="AF19" s="31"/>
      <c r="AG19" s="31"/>
      <c r="AH19" s="31"/>
      <c r="AI19" s="31"/>
    </row>
    <row r="20" spans="1:38" x14ac:dyDescent="0.35">
      <c r="A20" t="s">
        <v>86</v>
      </c>
      <c r="B20" s="78"/>
      <c r="C20" s="78">
        <v>330384810.14319003</v>
      </c>
      <c r="D20" s="78">
        <v>330384810.14319003</v>
      </c>
      <c r="E20" s="2">
        <f t="shared" si="4"/>
        <v>1</v>
      </c>
      <c r="F20" s="76">
        <v>185980652.63265002</v>
      </c>
      <c r="G20" s="78">
        <v>954680986.7345705</v>
      </c>
      <c r="H20" s="78">
        <v>1140661639.3672204</v>
      </c>
      <c r="I20" s="2">
        <f t="shared" si="5"/>
        <v>0.83695370632800248</v>
      </c>
      <c r="J20" s="91">
        <f t="shared" ref="J20:J30" si="12">B20/365</f>
        <v>0</v>
      </c>
      <c r="K20" s="91">
        <f t="shared" ref="K20:K30" si="13">C20/365</f>
        <v>905163.86340600008</v>
      </c>
      <c r="L20" s="77">
        <f t="shared" ref="L20:L30" si="14">J20+K20</f>
        <v>905163.86340600008</v>
      </c>
      <c r="M20" s="77">
        <f t="shared" ref="M20:M30" si="15">F20/365</f>
        <v>509536.03461000003</v>
      </c>
      <c r="N20" s="77">
        <f t="shared" ref="N20:N30" si="16">G20/365</f>
        <v>2615564.3472180013</v>
      </c>
      <c r="O20" s="77">
        <f t="shared" ref="O20:O30" si="17">M20+N20</f>
        <v>3125100.3818280012</v>
      </c>
      <c r="Q20" s="18"/>
      <c r="R20" s="18"/>
      <c r="S20" s="18"/>
      <c r="AE20" s="31"/>
      <c r="AF20" s="31"/>
      <c r="AG20" s="31"/>
      <c r="AH20" s="31"/>
      <c r="AI20" s="31"/>
    </row>
    <row r="21" spans="1:38" x14ac:dyDescent="0.35">
      <c r="A21" t="s">
        <v>87</v>
      </c>
      <c r="B21" s="78">
        <v>12070363.898910001</v>
      </c>
      <c r="C21" s="78">
        <v>1060114274.3375701</v>
      </c>
      <c r="D21" s="78">
        <v>1072184638.2364801</v>
      </c>
      <c r="E21" s="2">
        <f t="shared" si="4"/>
        <v>0.98874227118310209</v>
      </c>
      <c r="F21" s="76">
        <v>145842598.35848999</v>
      </c>
      <c r="G21" s="78">
        <v>1265864954.2351203</v>
      </c>
      <c r="H21" s="78">
        <v>1411707552.5936103</v>
      </c>
      <c r="I21" s="2">
        <f t="shared" si="5"/>
        <v>0.89669064383019992</v>
      </c>
      <c r="J21" s="91">
        <f t="shared" si="12"/>
        <v>33069.490134</v>
      </c>
      <c r="K21" s="91">
        <f t="shared" si="13"/>
        <v>2904422.6694180002</v>
      </c>
      <c r="L21" s="77">
        <f t="shared" si="14"/>
        <v>2937492.159552</v>
      </c>
      <c r="M21" s="77">
        <f t="shared" si="15"/>
        <v>399568.76262599998</v>
      </c>
      <c r="N21" s="77">
        <f t="shared" si="16"/>
        <v>3468123.1622880008</v>
      </c>
      <c r="O21" s="77">
        <f t="shared" si="17"/>
        <v>3867691.9249140006</v>
      </c>
      <c r="Q21" s="18"/>
      <c r="R21" s="18"/>
      <c r="S21" s="18"/>
      <c r="AE21" s="31"/>
      <c r="AF21" s="31"/>
      <c r="AG21" s="31"/>
      <c r="AH21" s="31"/>
      <c r="AI21" s="31"/>
    </row>
    <row r="22" spans="1:38" x14ac:dyDescent="0.35">
      <c r="A22" t="s">
        <v>88</v>
      </c>
      <c r="B22" s="78"/>
      <c r="C22" s="78"/>
      <c r="D22" s="78"/>
      <c r="E22" s="2"/>
      <c r="F22" s="76">
        <v>75677541.248519987</v>
      </c>
      <c r="G22" s="78">
        <v>803667011.11268985</v>
      </c>
      <c r="H22" s="78">
        <v>879344552.36120987</v>
      </c>
      <c r="I22" s="2">
        <f t="shared" si="5"/>
        <v>0.91393869326271349</v>
      </c>
      <c r="J22" s="91">
        <f t="shared" si="12"/>
        <v>0</v>
      </c>
      <c r="K22" s="91">
        <f t="shared" si="13"/>
        <v>0</v>
      </c>
      <c r="L22" s="77">
        <f t="shared" si="14"/>
        <v>0</v>
      </c>
      <c r="M22" s="77">
        <f t="shared" si="15"/>
        <v>207335.72944799997</v>
      </c>
      <c r="N22" s="77">
        <f t="shared" si="16"/>
        <v>2201827.4277059995</v>
      </c>
      <c r="O22" s="77">
        <f t="shared" si="17"/>
        <v>2409163.1571539994</v>
      </c>
      <c r="R22" s="18"/>
      <c r="S22" s="18"/>
      <c r="AE22" s="31"/>
      <c r="AF22" s="31"/>
      <c r="AG22" s="31"/>
      <c r="AH22" s="31"/>
      <c r="AI22" s="31"/>
    </row>
    <row r="23" spans="1:38" x14ac:dyDescent="0.35">
      <c r="A23" t="s">
        <v>233</v>
      </c>
      <c r="B23" s="78">
        <v>2250825850.7871003</v>
      </c>
      <c r="C23" s="78">
        <v>10255956249.445709</v>
      </c>
      <c r="D23" s="78">
        <v>12506782100.232809</v>
      </c>
      <c r="E23" s="2">
        <f t="shared" si="4"/>
        <v>0.82003157704768825</v>
      </c>
      <c r="F23" s="76">
        <v>5072060124.507864</v>
      </c>
      <c r="G23" s="78">
        <v>4564262294.8651505</v>
      </c>
      <c r="H23" s="78">
        <v>9636322419.3730145</v>
      </c>
      <c r="I23" s="2">
        <f t="shared" si="5"/>
        <v>0.4736518867082618</v>
      </c>
      <c r="J23" s="91">
        <f t="shared" si="12"/>
        <v>6166646.1665400006</v>
      </c>
      <c r="K23" s="91">
        <f t="shared" si="13"/>
        <v>28098510.272453997</v>
      </c>
      <c r="L23" s="77">
        <f t="shared" si="14"/>
        <v>34265156.438993998</v>
      </c>
      <c r="M23" s="77">
        <f t="shared" si="15"/>
        <v>13896055.135637984</v>
      </c>
      <c r="N23" s="77">
        <f t="shared" si="16"/>
        <v>12504828.20511</v>
      </c>
      <c r="O23" s="77">
        <f t="shared" si="17"/>
        <v>26400883.340747982</v>
      </c>
      <c r="Q23" s="18"/>
      <c r="R23" s="18"/>
      <c r="S23" s="18"/>
      <c r="AE23" s="31"/>
      <c r="AF23" s="31"/>
      <c r="AG23" s="31"/>
      <c r="AH23" s="31"/>
      <c r="AI23" s="31"/>
    </row>
    <row r="24" spans="1:38" x14ac:dyDescent="0.35">
      <c r="A24" t="s">
        <v>90</v>
      </c>
      <c r="B24" s="78"/>
      <c r="C24" s="78"/>
      <c r="D24" s="78"/>
      <c r="E24" s="2"/>
      <c r="F24" s="76">
        <v>38321078.393279992</v>
      </c>
      <c r="G24" s="78">
        <v>1190069283.5609703</v>
      </c>
      <c r="H24" s="78">
        <v>1228390361.9542503</v>
      </c>
      <c r="I24" s="2">
        <f t="shared" si="5"/>
        <v>0.96880382687770772</v>
      </c>
      <c r="J24" s="91">
        <f t="shared" si="12"/>
        <v>0</v>
      </c>
      <c r="K24" s="91">
        <f t="shared" si="13"/>
        <v>0</v>
      </c>
      <c r="L24" s="77">
        <f t="shared" si="14"/>
        <v>0</v>
      </c>
      <c r="M24" s="77">
        <f t="shared" si="15"/>
        <v>104989.25587199998</v>
      </c>
      <c r="N24" s="77">
        <f t="shared" si="16"/>
        <v>3260463.7905780007</v>
      </c>
      <c r="O24" s="77">
        <f t="shared" si="17"/>
        <v>3365453.0464500007</v>
      </c>
      <c r="R24" s="18"/>
      <c r="S24" s="18"/>
      <c r="AE24" s="31"/>
      <c r="AF24" s="31"/>
      <c r="AG24" s="31"/>
      <c r="AH24" s="31"/>
      <c r="AI24" s="31"/>
    </row>
    <row r="25" spans="1:38" x14ac:dyDescent="0.35">
      <c r="A25" t="s">
        <v>91</v>
      </c>
      <c r="B25" s="78"/>
      <c r="C25" s="78">
        <v>898489232.03117967</v>
      </c>
      <c r="D25" s="78">
        <v>898489232.03117967</v>
      </c>
      <c r="E25" s="2">
        <f t="shared" si="4"/>
        <v>1</v>
      </c>
      <c r="F25" s="76">
        <v>140336249.66699997</v>
      </c>
      <c r="G25" s="78">
        <v>384548382.96764994</v>
      </c>
      <c r="H25" s="78">
        <v>524884632.63464987</v>
      </c>
      <c r="I25" s="2">
        <f t="shared" si="5"/>
        <v>0.73263410482683711</v>
      </c>
      <c r="J25" s="91">
        <f t="shared" si="12"/>
        <v>0</v>
      </c>
      <c r="K25" s="91">
        <f t="shared" si="13"/>
        <v>2461614.3343319991</v>
      </c>
      <c r="L25" s="77">
        <f t="shared" si="14"/>
        <v>2461614.3343319991</v>
      </c>
      <c r="M25" s="77">
        <f t="shared" si="15"/>
        <v>384482.87579999992</v>
      </c>
      <c r="N25" s="77">
        <f t="shared" si="16"/>
        <v>1053557.2136099997</v>
      </c>
      <c r="O25" s="77">
        <f t="shared" si="17"/>
        <v>1438040.0894099995</v>
      </c>
      <c r="Q25" s="18"/>
      <c r="R25" s="18"/>
      <c r="S25" s="18"/>
      <c r="AE25" s="31"/>
      <c r="AF25" s="31"/>
      <c r="AG25" s="31"/>
      <c r="AH25" s="31"/>
      <c r="AI25" s="31"/>
    </row>
    <row r="26" spans="1:38" x14ac:dyDescent="0.35">
      <c r="A26" t="s">
        <v>92</v>
      </c>
      <c r="B26" s="78">
        <v>14032434.471750002</v>
      </c>
      <c r="C26" s="78">
        <v>599404894.72667992</v>
      </c>
      <c r="D26" s="78">
        <v>613437329.19842994</v>
      </c>
      <c r="E26" s="2">
        <f t="shared" si="4"/>
        <v>0.97712490941807206</v>
      </c>
      <c r="F26" s="76">
        <v>681139120.91817033</v>
      </c>
      <c r="G26" s="78">
        <v>1207440211.8750002</v>
      </c>
      <c r="H26" s="78">
        <v>1888579332.7931705</v>
      </c>
      <c r="I26" s="2">
        <f t="shared" si="5"/>
        <v>0.63933782971627706</v>
      </c>
      <c r="J26" s="91">
        <f t="shared" si="12"/>
        <v>38445.025950000003</v>
      </c>
      <c r="K26" s="91">
        <f t="shared" si="13"/>
        <v>1642205.1910319999</v>
      </c>
      <c r="L26" s="77">
        <f t="shared" si="14"/>
        <v>1680650.2169819998</v>
      </c>
      <c r="M26" s="77">
        <f t="shared" si="15"/>
        <v>1866134.577858001</v>
      </c>
      <c r="N26" s="77">
        <f t="shared" si="16"/>
        <v>3308055.3750000005</v>
      </c>
      <c r="O26" s="77">
        <f t="shared" si="17"/>
        <v>5174189.952858001</v>
      </c>
      <c r="Q26" s="18"/>
      <c r="R26" s="18"/>
      <c r="S26" s="18"/>
      <c r="AE26" s="31"/>
      <c r="AF26" s="31"/>
      <c r="AG26" s="31"/>
      <c r="AH26" s="31"/>
      <c r="AI26" s="31"/>
    </row>
    <row r="27" spans="1:38" x14ac:dyDescent="0.35">
      <c r="A27" t="s">
        <v>93</v>
      </c>
      <c r="B27" s="78"/>
      <c r="C27" s="78"/>
      <c r="D27" s="78"/>
      <c r="E27" s="2"/>
      <c r="F27" s="76">
        <v>185481342.91908005</v>
      </c>
      <c r="G27" s="78">
        <v>897882773.19939005</v>
      </c>
      <c r="H27" s="78">
        <v>1083364116.1184702</v>
      </c>
      <c r="I27" s="2">
        <f t="shared" si="5"/>
        <v>0.82879131756400448</v>
      </c>
      <c r="J27" s="91">
        <f t="shared" si="12"/>
        <v>0</v>
      </c>
      <c r="K27" s="91">
        <f t="shared" si="13"/>
        <v>0</v>
      </c>
      <c r="L27" s="77">
        <f t="shared" si="14"/>
        <v>0</v>
      </c>
      <c r="M27" s="77">
        <f t="shared" si="15"/>
        <v>508168.06279200013</v>
      </c>
      <c r="N27" s="77">
        <f t="shared" si="16"/>
        <v>2459952.8032860002</v>
      </c>
      <c r="O27" s="77">
        <f t="shared" si="17"/>
        <v>2968120.8660780005</v>
      </c>
      <c r="R27" s="18"/>
      <c r="S27" s="18"/>
      <c r="AE27" s="31"/>
      <c r="AF27" s="31"/>
      <c r="AG27" s="31"/>
      <c r="AH27" s="31"/>
      <c r="AI27" s="31"/>
    </row>
    <row r="28" spans="1:38" x14ac:dyDescent="0.35">
      <c r="A28" t="s">
        <v>94</v>
      </c>
      <c r="B28" s="78"/>
      <c r="C28" s="78">
        <v>1734686429.1196802</v>
      </c>
      <c r="D28" s="78">
        <v>1734686429.1196802</v>
      </c>
      <c r="E28" s="2">
        <f t="shared" si="4"/>
        <v>1</v>
      </c>
      <c r="F28" s="76">
        <v>179616323.15384993</v>
      </c>
      <c r="G28" s="78">
        <v>706533599.88003004</v>
      </c>
      <c r="H28" s="78">
        <v>886149923.03388</v>
      </c>
      <c r="I28" s="2">
        <f t="shared" si="5"/>
        <v>0.79730707131485845</v>
      </c>
      <c r="J28" s="91">
        <f t="shared" si="12"/>
        <v>0</v>
      </c>
      <c r="K28" s="91">
        <f t="shared" si="13"/>
        <v>4752565.5592320003</v>
      </c>
      <c r="L28" s="77">
        <f t="shared" si="14"/>
        <v>4752565.5592320003</v>
      </c>
      <c r="M28" s="77">
        <f t="shared" si="15"/>
        <v>492099.51548999979</v>
      </c>
      <c r="N28" s="77">
        <f t="shared" si="16"/>
        <v>1935708.4928220001</v>
      </c>
      <c r="O28" s="77">
        <f t="shared" si="17"/>
        <v>2427808.008312</v>
      </c>
      <c r="Q28" s="18"/>
      <c r="R28" s="18"/>
      <c r="S28" s="18"/>
      <c r="AE28" s="31"/>
      <c r="AF28" s="31"/>
      <c r="AG28" s="31"/>
      <c r="AH28" s="31"/>
      <c r="AI28" s="31"/>
    </row>
    <row r="29" spans="1:38" x14ac:dyDescent="0.35">
      <c r="A29" t="s">
        <v>95</v>
      </c>
      <c r="B29" s="78"/>
      <c r="C29" s="78">
        <v>183929876.88068998</v>
      </c>
      <c r="D29" s="78">
        <v>183929876.88068998</v>
      </c>
      <c r="E29" s="2">
        <f t="shared" si="4"/>
        <v>1</v>
      </c>
      <c r="F29" s="76">
        <v>27819151.674959999</v>
      </c>
      <c r="G29" s="78">
        <v>828535072.70522952</v>
      </c>
      <c r="H29" s="78">
        <v>856354224.38018954</v>
      </c>
      <c r="I29" s="2">
        <f t="shared" si="5"/>
        <v>0.96751443400060888</v>
      </c>
      <c r="J29" s="91">
        <f t="shared" si="12"/>
        <v>0</v>
      </c>
      <c r="K29" s="91">
        <f t="shared" si="13"/>
        <v>503917.47090599994</v>
      </c>
      <c r="L29" s="77">
        <f t="shared" si="14"/>
        <v>503917.47090599994</v>
      </c>
      <c r="M29" s="77">
        <f t="shared" si="15"/>
        <v>76216.853904000003</v>
      </c>
      <c r="N29" s="77">
        <f t="shared" si="16"/>
        <v>2269959.1033019987</v>
      </c>
      <c r="O29" s="77">
        <f t="shared" si="17"/>
        <v>2346175.9572059987</v>
      </c>
      <c r="Q29" s="18"/>
      <c r="R29" s="18"/>
      <c r="S29" s="18"/>
      <c r="AE29" s="31"/>
      <c r="AF29" s="31"/>
      <c r="AG29" s="31"/>
      <c r="AH29" s="31"/>
      <c r="AI29" s="31"/>
    </row>
    <row r="30" spans="1:38" x14ac:dyDescent="0.35">
      <c r="A30" t="s">
        <v>99</v>
      </c>
      <c r="B30" s="78">
        <v>80285253.162689984</v>
      </c>
      <c r="C30" s="78">
        <v>17540237297.293797</v>
      </c>
      <c r="D30" s="78">
        <v>17620522550.456486</v>
      </c>
      <c r="E30" s="2">
        <f t="shared" si="4"/>
        <v>0.99544365083766428</v>
      </c>
      <c r="F30" s="76">
        <v>4186197006.7910709</v>
      </c>
      <c r="G30" s="78">
        <v>29356061104.999657</v>
      </c>
      <c r="H30" s="78">
        <v>33542258111.790726</v>
      </c>
      <c r="I30" s="2">
        <f t="shared" si="5"/>
        <v>0.87519632718706131</v>
      </c>
      <c r="J30" s="91">
        <f t="shared" si="12"/>
        <v>219959.59770599994</v>
      </c>
      <c r="K30" s="91">
        <f t="shared" si="13"/>
        <v>48055444.65011999</v>
      </c>
      <c r="L30" s="77">
        <f t="shared" si="14"/>
        <v>48275404.247825988</v>
      </c>
      <c r="M30" s="77">
        <f t="shared" si="15"/>
        <v>11469032.895318003</v>
      </c>
      <c r="N30" s="77">
        <f t="shared" si="16"/>
        <v>80427564.67123194</v>
      </c>
      <c r="O30" s="77">
        <f t="shared" si="17"/>
        <v>91896597.566549942</v>
      </c>
      <c r="Q30" s="18"/>
      <c r="R30" s="18"/>
      <c r="S30" s="18"/>
      <c r="AE30" s="31"/>
      <c r="AF30" s="31"/>
      <c r="AG30" s="31"/>
      <c r="AH30" s="31"/>
      <c r="AI30" s="31"/>
    </row>
    <row r="31" spans="1:38" x14ac:dyDescent="0.35">
      <c r="A31" t="s">
        <v>439</v>
      </c>
      <c r="B31" s="78">
        <f>SUM(B5:B30)</f>
        <v>22843528180.391743</v>
      </c>
      <c r="C31" s="78">
        <f>SUM(C5:C30)</f>
        <v>81129887469.318939</v>
      </c>
      <c r="D31" s="78">
        <f>SUM(D5:D30)</f>
        <v>103973415649.71065</v>
      </c>
      <c r="E31" s="4">
        <f t="shared" si="4"/>
        <v>0.78029452973486801</v>
      </c>
      <c r="F31" s="78">
        <f>SUM(F5:F30)</f>
        <v>70273985885.721848</v>
      </c>
      <c r="G31" s="78">
        <f>SUM(G5:G30)</f>
        <v>104694683143.37509</v>
      </c>
      <c r="H31" s="78">
        <f>SUM(H5:H30)</f>
        <v>174968669029.09692</v>
      </c>
      <c r="I31" s="4">
        <f t="shared" si="5"/>
        <v>0.59836245954391176</v>
      </c>
      <c r="J31" s="78">
        <f t="shared" ref="J31:O31" si="18">SUM(J5:J30)</f>
        <v>62585008.71340204</v>
      </c>
      <c r="K31" s="78">
        <f t="shared" si="18"/>
        <v>222273664.29950389</v>
      </c>
      <c r="L31" s="78">
        <f t="shared" si="18"/>
        <v>284858673.01290596</v>
      </c>
      <c r="M31" s="78">
        <f t="shared" si="18"/>
        <v>192531468.18005985</v>
      </c>
      <c r="N31" s="78">
        <f t="shared" si="18"/>
        <v>286834748.33801395</v>
      </c>
      <c r="O31" s="78">
        <f t="shared" si="18"/>
        <v>479366216.51807398</v>
      </c>
      <c r="P31" s="18"/>
      <c r="T31" s="18"/>
      <c r="U31" s="18"/>
      <c r="V31" s="18"/>
      <c r="AE31" s="31"/>
      <c r="AF31" s="31"/>
      <c r="AG31" s="31"/>
      <c r="AH31" s="31"/>
      <c r="AI31" s="31"/>
      <c r="AJ31" s="31"/>
      <c r="AK31" s="31"/>
      <c r="AL31" s="31"/>
    </row>
    <row r="32" spans="1:38" s="32" customFormat="1" x14ac:dyDescent="0.35">
      <c r="B32" s="11"/>
      <c r="C32" s="11"/>
      <c r="D32" s="11"/>
      <c r="E32" s="33"/>
      <c r="F32" s="11"/>
      <c r="G32" s="11"/>
      <c r="H32" s="11"/>
      <c r="I32" s="33"/>
      <c r="J32" s="11"/>
      <c r="K32" s="11"/>
      <c r="L32" s="11"/>
      <c r="M32" s="11"/>
      <c r="N32" s="11"/>
      <c r="O32" s="11"/>
      <c r="P32" s="38"/>
      <c r="T32" s="38"/>
      <c r="U32" s="38"/>
      <c r="V32" s="38"/>
      <c r="AE32" s="10"/>
      <c r="AF32" s="10"/>
      <c r="AG32" s="10"/>
      <c r="AH32" s="10"/>
      <c r="AI32" s="10"/>
      <c r="AJ32" s="10"/>
      <c r="AK32" s="10"/>
      <c r="AL32" s="10"/>
    </row>
    <row r="33" spans="1:38" s="5" customFormat="1" x14ac:dyDescent="0.35">
      <c r="A33" s="674" t="s">
        <v>128</v>
      </c>
      <c r="B33" s="675" t="s">
        <v>514</v>
      </c>
      <c r="C33" s="675"/>
      <c r="D33" s="675"/>
      <c r="E33" s="6"/>
      <c r="F33" s="46"/>
      <c r="G33" s="8"/>
      <c r="H33" s="7"/>
      <c r="I33" s="8"/>
      <c r="J33" s="8"/>
      <c r="K33" s="8"/>
      <c r="L33" s="158"/>
      <c r="M33" s="8"/>
      <c r="N33" s="8"/>
      <c r="O33" s="8"/>
      <c r="P33" s="159"/>
      <c r="Q33" s="159"/>
      <c r="R33" s="159"/>
      <c r="AH33" s="34"/>
      <c r="AI33" s="34"/>
      <c r="AJ33" s="34"/>
      <c r="AK33" s="34"/>
      <c r="AL33" s="34"/>
    </row>
    <row r="34" spans="1:38" s="5" customFormat="1" x14ac:dyDescent="0.35">
      <c r="A34" s="674"/>
      <c r="B34" s="6" t="s">
        <v>194</v>
      </c>
      <c r="C34" s="6" t="s">
        <v>127</v>
      </c>
      <c r="D34" s="6" t="s">
        <v>441</v>
      </c>
      <c r="E34" s="6"/>
      <c r="F34" s="46"/>
      <c r="G34" s="8"/>
      <c r="H34" s="7"/>
      <c r="I34" s="8"/>
      <c r="J34" s="8"/>
      <c r="K34" s="8"/>
      <c r="L34" s="158"/>
      <c r="M34" s="8"/>
      <c r="N34" s="8"/>
      <c r="O34" s="8"/>
      <c r="P34" s="159"/>
      <c r="Q34" s="159"/>
      <c r="R34" s="159"/>
      <c r="AH34" s="34"/>
      <c r="AI34" s="34"/>
      <c r="AJ34" s="34"/>
      <c r="AK34" s="34"/>
      <c r="AL34" s="34"/>
    </row>
    <row r="35" spans="1:38" x14ac:dyDescent="0.35">
      <c r="A35" t="s">
        <v>71</v>
      </c>
      <c r="B35" s="13">
        <v>100.1318</v>
      </c>
      <c r="C35" s="13">
        <v>295.29803579999998</v>
      </c>
      <c r="D35" s="16">
        <f>C35/B35</f>
        <v>2.949093452829171</v>
      </c>
      <c r="E35" s="16"/>
      <c r="F35" s="16"/>
      <c r="G35" s="18"/>
      <c r="H35" s="1"/>
      <c r="I35" s="12"/>
      <c r="L35" s="19"/>
      <c r="M35" s="12"/>
      <c r="N35" s="12"/>
      <c r="O35" s="12"/>
      <c r="P35" s="13"/>
      <c r="Q35" s="13"/>
      <c r="R35" s="13"/>
    </row>
    <row r="36" spans="1:38" x14ac:dyDescent="0.35">
      <c r="A36" t="s">
        <v>72</v>
      </c>
      <c r="B36" s="13">
        <v>147.75352000000001</v>
      </c>
      <c r="C36" s="13">
        <v>246.7226398</v>
      </c>
      <c r="D36" s="16">
        <f t="shared" ref="D36:D60" si="19">C36/B36</f>
        <v>1.669825800427631</v>
      </c>
      <c r="E36" s="16"/>
      <c r="F36" s="16"/>
      <c r="G36" s="18"/>
      <c r="H36" s="1"/>
      <c r="I36" s="12"/>
      <c r="L36" s="19"/>
      <c r="M36" s="12"/>
      <c r="N36" s="12"/>
      <c r="O36" s="12"/>
      <c r="P36" s="13"/>
      <c r="Q36" s="13"/>
      <c r="R36" s="13"/>
    </row>
    <row r="37" spans="1:38" x14ac:dyDescent="0.35">
      <c r="A37" t="s">
        <v>73</v>
      </c>
      <c r="B37" s="13">
        <v>192.20520999999999</v>
      </c>
      <c r="C37" s="13">
        <v>495.82838299999997</v>
      </c>
      <c r="D37" s="16">
        <f t="shared" si="19"/>
        <v>2.5796823249484238</v>
      </c>
      <c r="E37" s="16"/>
      <c r="F37" s="16"/>
      <c r="G37" s="18"/>
      <c r="H37" s="1"/>
      <c r="I37" s="12"/>
      <c r="L37" s="19"/>
      <c r="M37" s="12"/>
      <c r="N37" s="12"/>
      <c r="O37" s="12"/>
      <c r="P37" s="13"/>
      <c r="Q37" s="13"/>
      <c r="R37" s="13"/>
    </row>
    <row r="38" spans="1:38" x14ac:dyDescent="0.35">
      <c r="A38" t="s">
        <v>74</v>
      </c>
      <c r="B38" s="13">
        <v>98.936019999999999</v>
      </c>
      <c r="C38" s="13">
        <v>158.78595010000001</v>
      </c>
      <c r="D38" s="16">
        <f t="shared" si="19"/>
        <v>1.6049356958163468</v>
      </c>
      <c r="E38" s="16"/>
      <c r="F38" s="16"/>
      <c r="G38" s="18"/>
      <c r="H38" s="1"/>
      <c r="I38" s="12"/>
      <c r="L38" s="19"/>
      <c r="M38" s="12"/>
      <c r="N38" s="12"/>
      <c r="O38" s="12"/>
      <c r="P38" s="13"/>
      <c r="Q38" s="13"/>
      <c r="R38" s="13"/>
    </row>
    <row r="39" spans="1:38" x14ac:dyDescent="0.35">
      <c r="A39" t="s">
        <v>75</v>
      </c>
      <c r="B39" s="13"/>
      <c r="C39" s="13"/>
      <c r="D39" s="16"/>
      <c r="E39" s="16"/>
      <c r="F39" s="16"/>
      <c r="G39" s="18"/>
      <c r="H39" s="1"/>
      <c r="I39" s="12"/>
      <c r="L39" s="19"/>
      <c r="M39" s="12"/>
      <c r="N39" s="12"/>
      <c r="O39" s="12"/>
      <c r="P39" s="13"/>
      <c r="Q39" s="13"/>
      <c r="R39" s="13"/>
    </row>
    <row r="40" spans="1:38" x14ac:dyDescent="0.35">
      <c r="A40" t="s">
        <v>76</v>
      </c>
      <c r="B40" s="13"/>
      <c r="C40" s="13"/>
      <c r="D40" s="16"/>
      <c r="E40" s="16"/>
      <c r="F40" s="16"/>
      <c r="G40" s="18"/>
      <c r="H40" s="1"/>
      <c r="I40" s="12"/>
      <c r="L40" s="19"/>
      <c r="M40" s="12"/>
      <c r="N40" s="12"/>
      <c r="O40" s="12"/>
      <c r="P40" s="13"/>
      <c r="Q40" s="13"/>
      <c r="R40" s="13"/>
    </row>
    <row r="41" spans="1:38" x14ac:dyDescent="0.35">
      <c r="A41" t="s">
        <v>77</v>
      </c>
      <c r="B41" s="13">
        <v>86.523690000000002</v>
      </c>
      <c r="C41" s="13">
        <v>105.61918799999999</v>
      </c>
      <c r="D41" s="16">
        <f t="shared" si="19"/>
        <v>1.2206967594655289</v>
      </c>
      <c r="E41" s="16"/>
      <c r="F41" s="16"/>
      <c r="G41" s="18"/>
      <c r="H41" s="1"/>
      <c r="I41" s="12"/>
      <c r="L41" s="19"/>
      <c r="M41" s="12"/>
      <c r="N41" s="12"/>
      <c r="O41" s="12"/>
      <c r="P41" s="13"/>
      <c r="Q41" s="13"/>
      <c r="R41" s="13"/>
    </row>
    <row r="42" spans="1:38" x14ac:dyDescent="0.35">
      <c r="A42" t="s">
        <v>78</v>
      </c>
      <c r="B42" s="13">
        <v>1708.52107</v>
      </c>
      <c r="C42" s="13">
        <v>5865.0368470000003</v>
      </c>
      <c r="D42" s="16">
        <f t="shared" si="19"/>
        <v>3.4328150527286154</v>
      </c>
      <c r="E42" s="16"/>
      <c r="F42" s="16"/>
      <c r="G42" s="18"/>
      <c r="H42" s="1"/>
      <c r="I42" s="12"/>
      <c r="L42" s="19"/>
      <c r="M42" s="12"/>
      <c r="N42" s="12"/>
      <c r="O42" s="12"/>
      <c r="P42" s="13"/>
      <c r="Q42" s="13"/>
      <c r="R42" s="13"/>
    </row>
    <row r="43" spans="1:38" x14ac:dyDescent="0.35">
      <c r="A43" t="s">
        <v>79</v>
      </c>
      <c r="B43" s="13">
        <v>130.87105</v>
      </c>
      <c r="C43" s="13">
        <v>280.32415020000002</v>
      </c>
      <c r="D43" s="16">
        <f t="shared" si="19"/>
        <v>2.1419874769859342</v>
      </c>
      <c r="E43" s="16"/>
      <c r="F43" s="16"/>
      <c r="G43" s="18"/>
      <c r="H43" s="1"/>
      <c r="I43" s="12"/>
      <c r="L43" s="19"/>
      <c r="M43" s="12"/>
      <c r="N43" s="12"/>
      <c r="O43" s="12"/>
      <c r="P43" s="13"/>
      <c r="Q43" s="13"/>
      <c r="R43" s="13"/>
    </row>
    <row r="44" spans="1:38" x14ac:dyDescent="0.35">
      <c r="A44" t="s">
        <v>80</v>
      </c>
      <c r="B44" s="13"/>
      <c r="C44" s="13"/>
      <c r="D44" s="16"/>
      <c r="E44" s="16"/>
      <c r="F44" s="16"/>
      <c r="G44" s="18"/>
      <c r="H44" s="1"/>
      <c r="I44" s="12"/>
      <c r="L44" s="19"/>
      <c r="M44" s="12"/>
      <c r="N44" s="12"/>
      <c r="O44" s="12"/>
      <c r="P44" s="13"/>
      <c r="Q44" s="13"/>
      <c r="R44" s="13"/>
    </row>
    <row r="45" spans="1:38" x14ac:dyDescent="0.35">
      <c r="A45" t="s">
        <v>81</v>
      </c>
      <c r="B45" s="13"/>
      <c r="C45" s="13"/>
      <c r="D45" s="16"/>
      <c r="E45" s="16"/>
      <c r="F45" s="16"/>
      <c r="G45" s="18"/>
      <c r="H45" s="1"/>
      <c r="I45" s="12"/>
      <c r="L45" s="19"/>
      <c r="M45" s="12"/>
      <c r="N45" s="12"/>
      <c r="O45" s="12"/>
      <c r="P45" s="13"/>
      <c r="Q45" s="13"/>
      <c r="R45" s="13"/>
    </row>
    <row r="46" spans="1:38" x14ac:dyDescent="0.35">
      <c r="A46" t="s">
        <v>82</v>
      </c>
      <c r="B46" s="13">
        <v>657.72451999999998</v>
      </c>
      <c r="C46" s="13">
        <v>2199.6720850000002</v>
      </c>
      <c r="D46" s="16">
        <f t="shared" si="19"/>
        <v>3.3443668558988802</v>
      </c>
      <c r="E46" s="16"/>
      <c r="F46" s="16"/>
      <c r="G46" s="18"/>
      <c r="H46" s="1"/>
      <c r="I46" s="12"/>
      <c r="L46" s="19"/>
      <c r="M46" s="12"/>
      <c r="N46" s="12"/>
      <c r="O46" s="12"/>
      <c r="P46" s="13"/>
      <c r="Q46" s="13"/>
      <c r="R46" s="13"/>
    </row>
    <row r="47" spans="1:38" x14ac:dyDescent="0.35">
      <c r="A47" t="s">
        <v>83</v>
      </c>
      <c r="B47" s="13">
        <v>73.767700000000005</v>
      </c>
      <c r="C47" s="13">
        <v>119.13630360000001</v>
      </c>
      <c r="D47" s="16">
        <f t="shared" si="19"/>
        <v>1.6150199016642786</v>
      </c>
      <c r="E47" s="16"/>
      <c r="F47" s="16"/>
      <c r="G47" s="18"/>
      <c r="H47" s="1"/>
      <c r="I47" s="12"/>
      <c r="L47" s="19"/>
      <c r="M47" s="12"/>
      <c r="N47" s="12"/>
      <c r="O47" s="12"/>
      <c r="P47" s="13"/>
      <c r="Q47" s="13"/>
      <c r="R47" s="13"/>
    </row>
    <row r="48" spans="1:38" x14ac:dyDescent="0.35">
      <c r="A48" t="s">
        <v>84</v>
      </c>
      <c r="B48" s="13">
        <v>84.968180000000004</v>
      </c>
      <c r="C48" s="13">
        <v>190.72929540000001</v>
      </c>
      <c r="D48" s="16">
        <f t="shared" si="19"/>
        <v>2.2447143789592765</v>
      </c>
      <c r="E48" s="16"/>
      <c r="F48" s="16"/>
      <c r="G48" s="18"/>
      <c r="H48" s="1"/>
      <c r="I48" s="12"/>
      <c r="L48" s="19"/>
      <c r="M48" s="12"/>
      <c r="N48" s="12"/>
      <c r="O48" s="12"/>
      <c r="P48" s="13"/>
      <c r="Q48" s="13"/>
      <c r="R48" s="13"/>
    </row>
    <row r="49" spans="1:18" x14ac:dyDescent="0.35">
      <c r="A49" t="s">
        <v>85</v>
      </c>
      <c r="B49" s="13">
        <v>112.59276</v>
      </c>
      <c r="C49" s="13">
        <v>121.7122265</v>
      </c>
      <c r="D49" s="16">
        <f t="shared" si="19"/>
        <v>1.0809951412506453</v>
      </c>
      <c r="E49" s="16"/>
      <c r="F49" s="16"/>
      <c r="G49" s="18"/>
      <c r="H49" s="1"/>
      <c r="I49" s="12"/>
      <c r="L49" s="19"/>
      <c r="M49" s="12"/>
      <c r="N49" s="12"/>
      <c r="O49" s="12"/>
      <c r="P49" s="13"/>
      <c r="Q49" s="13"/>
      <c r="R49" s="13"/>
    </row>
    <row r="50" spans="1:18" x14ac:dyDescent="0.35">
      <c r="A50" t="s">
        <v>86</v>
      </c>
      <c r="B50" s="13">
        <v>44.159350000000003</v>
      </c>
      <c r="C50" s="13">
        <v>54.826460529999999</v>
      </c>
      <c r="D50" s="16">
        <f t="shared" si="19"/>
        <v>1.2415595005361264</v>
      </c>
      <c r="E50" s="16"/>
      <c r="F50" s="16"/>
      <c r="G50" s="18"/>
      <c r="H50" s="1"/>
      <c r="I50" s="12"/>
      <c r="L50" s="19"/>
      <c r="M50" s="12"/>
      <c r="N50" s="12"/>
      <c r="O50" s="12"/>
      <c r="P50" s="13"/>
      <c r="Q50" s="13"/>
      <c r="R50" s="13"/>
    </row>
    <row r="51" spans="1:18" x14ac:dyDescent="0.35">
      <c r="A51" t="s">
        <v>87</v>
      </c>
      <c r="B51" s="13">
        <v>226.55256</v>
      </c>
      <c r="C51" s="13">
        <v>417.76039170000001</v>
      </c>
      <c r="D51" s="16">
        <f t="shared" si="19"/>
        <v>1.8439888372923263</v>
      </c>
      <c r="E51" s="16"/>
      <c r="F51" s="16"/>
      <c r="G51" s="18"/>
      <c r="H51" s="1"/>
      <c r="I51" s="12"/>
      <c r="L51" s="19"/>
      <c r="M51" s="12"/>
      <c r="N51" s="12"/>
      <c r="O51" s="12"/>
      <c r="P51" s="13"/>
      <c r="Q51" s="13"/>
      <c r="R51" s="13"/>
    </row>
    <row r="52" spans="1:18" x14ac:dyDescent="0.35">
      <c r="A52" t="s">
        <v>88</v>
      </c>
      <c r="B52" s="13"/>
      <c r="C52" s="13"/>
      <c r="D52" s="16"/>
      <c r="E52" s="16"/>
      <c r="F52" s="16"/>
      <c r="G52" s="18"/>
      <c r="H52" s="1"/>
      <c r="I52" s="12"/>
      <c r="L52" s="19"/>
      <c r="M52" s="12"/>
      <c r="N52" s="12"/>
      <c r="O52" s="12"/>
      <c r="P52" s="13"/>
      <c r="Q52" s="13"/>
      <c r="R52" s="13"/>
    </row>
    <row r="53" spans="1:18" x14ac:dyDescent="0.35">
      <c r="A53" t="s">
        <v>233</v>
      </c>
      <c r="B53" s="13">
        <v>538.06962999999996</v>
      </c>
      <c r="C53" s="13">
        <v>1061.223371</v>
      </c>
      <c r="D53" s="16">
        <f t="shared" si="19"/>
        <v>1.9722788870280601</v>
      </c>
      <c r="E53" s="16"/>
      <c r="F53" s="16"/>
      <c r="G53" s="18"/>
      <c r="H53" s="1"/>
      <c r="I53" s="12"/>
      <c r="L53" s="19"/>
      <c r="M53" s="12"/>
      <c r="N53" s="12"/>
      <c r="O53" s="12"/>
      <c r="P53" s="13"/>
      <c r="Q53" s="13"/>
      <c r="R53" s="13"/>
    </row>
    <row r="54" spans="1:18" x14ac:dyDescent="0.35">
      <c r="A54" t="s">
        <v>90</v>
      </c>
      <c r="B54" s="13"/>
      <c r="C54" s="13"/>
      <c r="D54" s="16"/>
      <c r="E54" s="16"/>
      <c r="F54" s="16"/>
      <c r="G54" s="18"/>
      <c r="H54" s="1"/>
      <c r="I54" s="12"/>
      <c r="L54" s="19"/>
      <c r="M54" s="12"/>
      <c r="N54" s="12"/>
      <c r="O54" s="12"/>
      <c r="P54" s="13"/>
      <c r="Q54" s="13"/>
      <c r="R54" s="13"/>
    </row>
    <row r="55" spans="1:18" x14ac:dyDescent="0.35">
      <c r="A55" t="s">
        <v>91</v>
      </c>
      <c r="B55" s="13">
        <v>91.649590000000003</v>
      </c>
      <c r="C55" s="13">
        <v>97.872253119999996</v>
      </c>
      <c r="D55" s="16">
        <f t="shared" si="19"/>
        <v>1.0678962461261419</v>
      </c>
      <c r="E55" s="16"/>
      <c r="F55" s="16"/>
      <c r="G55" s="18"/>
      <c r="H55" s="1"/>
      <c r="I55" s="12"/>
      <c r="L55" s="19"/>
      <c r="M55" s="12"/>
      <c r="N55" s="12"/>
      <c r="O55" s="12"/>
      <c r="P55" s="13"/>
      <c r="Q55" s="13"/>
      <c r="R55" s="13"/>
    </row>
    <row r="56" spans="1:18" x14ac:dyDescent="0.35">
      <c r="A56" t="s">
        <v>92</v>
      </c>
      <c r="B56" s="13">
        <v>71.000209999999996</v>
      </c>
      <c r="C56" s="13">
        <v>79.305011050000005</v>
      </c>
      <c r="D56" s="16">
        <f t="shared" si="19"/>
        <v>1.1169686829095296</v>
      </c>
      <c r="E56" s="16"/>
      <c r="F56" s="16"/>
      <c r="G56" s="18"/>
      <c r="H56" s="1"/>
      <c r="I56" s="12"/>
      <c r="L56" s="19"/>
      <c r="M56" s="12"/>
      <c r="N56" s="12"/>
      <c r="O56" s="12"/>
      <c r="P56" s="13"/>
      <c r="Q56" s="13"/>
      <c r="R56" s="13"/>
    </row>
    <row r="57" spans="1:18" x14ac:dyDescent="0.35">
      <c r="A57" t="s">
        <v>93</v>
      </c>
      <c r="B57" s="13"/>
      <c r="C57" s="13"/>
      <c r="D57" s="16"/>
      <c r="E57" s="16"/>
      <c r="F57" s="16"/>
      <c r="G57" s="18"/>
      <c r="H57" s="1"/>
      <c r="I57" s="12"/>
      <c r="L57" s="19"/>
      <c r="M57" s="12"/>
      <c r="N57" s="12"/>
      <c r="O57" s="12"/>
      <c r="P57" s="13"/>
      <c r="Q57" s="13"/>
      <c r="R57" s="13"/>
    </row>
    <row r="58" spans="1:18" x14ac:dyDescent="0.35">
      <c r="A58" t="s">
        <v>94</v>
      </c>
      <c r="B58" s="13">
        <v>84.072749999999999</v>
      </c>
      <c r="C58" s="13">
        <v>110.54880540000001</v>
      </c>
      <c r="D58" s="16">
        <f t="shared" si="19"/>
        <v>1.3149183938910052</v>
      </c>
      <c r="E58" s="16"/>
      <c r="F58" s="16"/>
      <c r="G58" s="18"/>
      <c r="H58" s="1"/>
      <c r="I58" s="12"/>
      <c r="L58" s="19"/>
      <c r="M58" s="12"/>
      <c r="N58" s="12"/>
      <c r="O58" s="12"/>
      <c r="P58" s="13"/>
      <c r="Q58" s="13"/>
      <c r="R58" s="13"/>
    </row>
    <row r="59" spans="1:18" x14ac:dyDescent="0.35">
      <c r="A59" t="s">
        <v>95</v>
      </c>
      <c r="B59" s="13">
        <v>27.66</v>
      </c>
      <c r="C59" s="13">
        <v>34.598766019999999</v>
      </c>
      <c r="D59" s="16">
        <f t="shared" si="19"/>
        <v>1.2508592198120028</v>
      </c>
      <c r="E59" s="16"/>
      <c r="F59" s="16"/>
      <c r="G59" s="18"/>
      <c r="H59" s="1"/>
      <c r="I59" s="12"/>
      <c r="L59" s="19"/>
      <c r="M59" s="12"/>
      <c r="N59" s="12"/>
      <c r="O59" s="12"/>
      <c r="P59" s="13"/>
      <c r="Q59" s="13"/>
      <c r="R59" s="13"/>
    </row>
    <row r="60" spans="1:18" x14ac:dyDescent="0.35">
      <c r="A60" t="s">
        <v>99</v>
      </c>
      <c r="B60" s="13">
        <v>3327.5943900000002</v>
      </c>
      <c r="C60" s="13">
        <v>5089.5171149999996</v>
      </c>
      <c r="D60" s="16">
        <f t="shared" si="19"/>
        <v>1.5294884287264348</v>
      </c>
      <c r="E60" s="16"/>
      <c r="F60" s="16"/>
      <c r="G60" s="18"/>
      <c r="H60" s="1"/>
      <c r="I60" s="12"/>
      <c r="L60" s="19"/>
      <c r="M60" s="12"/>
      <c r="N60" s="12"/>
      <c r="O60" s="12"/>
      <c r="P60" s="13"/>
      <c r="Q60" s="13"/>
      <c r="R60" s="13"/>
    </row>
    <row r="61" spans="1:18" s="32" customFormat="1" x14ac:dyDescent="0.35">
      <c r="B61" s="39"/>
      <c r="C61" s="38"/>
      <c r="D61" s="38"/>
      <c r="E61" s="37"/>
      <c r="F61" s="11"/>
      <c r="G61" s="11"/>
      <c r="H61" s="11"/>
      <c r="I61" s="35"/>
      <c r="J61" s="11"/>
      <c r="K61" s="11"/>
      <c r="L61" s="11"/>
      <c r="M61" s="29"/>
      <c r="N61" s="29"/>
      <c r="O61" s="29"/>
    </row>
    <row r="62" spans="1:18" x14ac:dyDescent="0.35">
      <c r="B62" s="23"/>
    </row>
    <row r="63" spans="1:18" x14ac:dyDescent="0.35">
      <c r="B63" s="23"/>
    </row>
    <row r="64" spans="1:18" x14ac:dyDescent="0.35">
      <c r="B64" s="24"/>
    </row>
    <row r="65" spans="2:2" x14ac:dyDescent="0.35">
      <c r="B65" s="23"/>
    </row>
    <row r="66" spans="2:2" x14ac:dyDescent="0.35">
      <c r="B66" s="23"/>
    </row>
    <row r="67" spans="2:2" x14ac:dyDescent="0.35">
      <c r="B67" s="23"/>
    </row>
    <row r="68" spans="2:2" x14ac:dyDescent="0.35">
      <c r="B68" s="23"/>
    </row>
    <row r="69" spans="2:2" x14ac:dyDescent="0.35">
      <c r="B69" s="23"/>
    </row>
    <row r="70" spans="2:2" x14ac:dyDescent="0.35">
      <c r="B70" s="23"/>
    </row>
    <row r="71" spans="2:2" x14ac:dyDescent="0.35">
      <c r="B71" s="23"/>
    </row>
    <row r="72" spans="2:2" x14ac:dyDescent="0.35">
      <c r="B72" s="23"/>
    </row>
    <row r="73" spans="2:2" x14ac:dyDescent="0.35">
      <c r="B73" s="23"/>
    </row>
    <row r="74" spans="2:2" x14ac:dyDescent="0.35">
      <c r="B74" s="23"/>
    </row>
    <row r="75" spans="2:2" x14ac:dyDescent="0.35">
      <c r="B75" s="23"/>
    </row>
    <row r="76" spans="2:2" x14ac:dyDescent="0.35">
      <c r="B76" s="23"/>
    </row>
    <row r="77" spans="2:2" x14ac:dyDescent="0.35">
      <c r="B77" s="23"/>
    </row>
    <row r="78" spans="2:2" x14ac:dyDescent="0.35">
      <c r="B78" s="23"/>
    </row>
    <row r="79" spans="2:2" x14ac:dyDescent="0.35">
      <c r="B79" s="23"/>
    </row>
    <row r="80" spans="2:2" x14ac:dyDescent="0.35">
      <c r="B80" s="23"/>
    </row>
    <row r="81" spans="2:2" x14ac:dyDescent="0.35">
      <c r="B81" s="23"/>
    </row>
    <row r="82" spans="2:2" x14ac:dyDescent="0.35">
      <c r="B82" s="23"/>
    </row>
    <row r="83" spans="2:2" x14ac:dyDescent="0.35">
      <c r="B83" s="23"/>
    </row>
    <row r="84" spans="2:2" x14ac:dyDescent="0.35">
      <c r="B84" s="23"/>
    </row>
    <row r="85" spans="2:2" x14ac:dyDescent="0.35">
      <c r="B85" s="23"/>
    </row>
    <row r="86" spans="2:2" x14ac:dyDescent="0.35">
      <c r="B86" s="23"/>
    </row>
    <row r="87" spans="2:2" x14ac:dyDescent="0.35">
      <c r="B87" s="23"/>
    </row>
    <row r="88" spans="2:2" x14ac:dyDescent="0.35">
      <c r="B88" s="23"/>
    </row>
    <row r="89" spans="2:2" x14ac:dyDescent="0.35">
      <c r="B89" s="23"/>
    </row>
    <row r="90" spans="2:2" x14ac:dyDescent="0.35">
      <c r="B90" s="23"/>
    </row>
  </sheetData>
  <mergeCells count="10">
    <mergeCell ref="B33:D33"/>
    <mergeCell ref="A33:A34"/>
    <mergeCell ref="T2:V2"/>
    <mergeCell ref="B3:E3"/>
    <mergeCell ref="F3:I3"/>
    <mergeCell ref="J3:L3"/>
    <mergeCell ref="M3:O3"/>
    <mergeCell ref="Q2:S2"/>
    <mergeCell ref="B2:I2"/>
    <mergeCell ref="J2:O2"/>
  </mergeCells>
  <pageMargins left="0.7" right="0.7" top="0.75" bottom="0.75" header="0.3" footer="0.3"/>
  <ignoredErrors>
    <ignoredError sqref="E31 I31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A1:AL75"/>
  <sheetViews>
    <sheetView workbookViewId="0"/>
  </sheetViews>
  <sheetFormatPr defaultRowHeight="14.5" x14ac:dyDescent="0.35"/>
  <cols>
    <col min="1" max="1" width="25.7265625" customWidth="1"/>
    <col min="2" max="8" width="15.7265625" style="19" customWidth="1"/>
    <col min="9" max="9" width="15.7265625" style="2" customWidth="1"/>
    <col min="10" max="10" width="14.7265625" style="19" customWidth="1"/>
    <col min="11" max="11" width="13.7265625" style="19" customWidth="1"/>
    <col min="12" max="12" width="15.7265625" style="19" customWidth="1"/>
    <col min="13" max="13" width="14.7265625" style="12" customWidth="1"/>
    <col min="14" max="15" width="15.7265625" style="12" customWidth="1"/>
  </cols>
  <sheetData>
    <row r="1" spans="1:38" s="32" customFormat="1" x14ac:dyDescent="0.35">
      <c r="B1" s="35"/>
      <c r="C1" s="35"/>
      <c r="D1" s="35"/>
      <c r="E1" s="35"/>
      <c r="F1" s="35"/>
      <c r="G1" s="35"/>
      <c r="H1" s="35"/>
      <c r="I1" s="33"/>
      <c r="J1" s="35"/>
      <c r="K1" s="35"/>
      <c r="L1" s="35"/>
      <c r="M1" s="11"/>
      <c r="N1" s="11"/>
      <c r="O1" s="11"/>
    </row>
    <row r="2" spans="1:38" s="5" customFormat="1" x14ac:dyDescent="0.35">
      <c r="B2" s="676" t="s">
        <v>515</v>
      </c>
      <c r="C2" s="676"/>
      <c r="D2" s="676"/>
      <c r="E2" s="676"/>
      <c r="F2" s="676"/>
      <c r="G2" s="676"/>
      <c r="H2" s="676"/>
      <c r="I2" s="676"/>
      <c r="J2" s="676" t="s">
        <v>516</v>
      </c>
      <c r="K2" s="676"/>
      <c r="L2" s="676"/>
      <c r="M2" s="676"/>
      <c r="N2" s="676"/>
      <c r="O2" s="676"/>
      <c r="P2" s="6"/>
      <c r="Q2" s="676"/>
      <c r="R2" s="676"/>
      <c r="S2" s="676"/>
      <c r="T2" s="676"/>
      <c r="U2" s="676"/>
      <c r="V2" s="676"/>
      <c r="AE2" s="34"/>
      <c r="AF2" s="34"/>
      <c r="AG2" s="34"/>
      <c r="AH2" s="34"/>
      <c r="AI2" s="34"/>
      <c r="AJ2" s="34"/>
      <c r="AK2" s="34"/>
      <c r="AL2" s="34"/>
    </row>
    <row r="3" spans="1:38" s="6" customFormat="1" x14ac:dyDescent="0.35">
      <c r="A3" s="157" t="s">
        <v>128</v>
      </c>
      <c r="B3" s="676" t="s">
        <v>434</v>
      </c>
      <c r="C3" s="676"/>
      <c r="D3" s="676"/>
      <c r="E3" s="676"/>
      <c r="F3" s="676" t="s">
        <v>435</v>
      </c>
      <c r="G3" s="676"/>
      <c r="H3" s="676"/>
      <c r="I3" s="676"/>
      <c r="J3" s="676" t="s">
        <v>434</v>
      </c>
      <c r="K3" s="676"/>
      <c r="L3" s="676"/>
      <c r="M3" s="677" t="s">
        <v>435</v>
      </c>
      <c r="N3" s="677"/>
      <c r="O3" s="677"/>
      <c r="AE3" s="9"/>
      <c r="AF3" s="9"/>
      <c r="AG3" s="9"/>
      <c r="AH3" s="9"/>
      <c r="AI3" s="9"/>
      <c r="AJ3" s="9"/>
      <c r="AK3" s="9"/>
      <c r="AL3" s="9"/>
    </row>
    <row r="4" spans="1:38" s="6" customFormat="1" ht="29" x14ac:dyDescent="0.35">
      <c r="A4" s="157"/>
      <c r="B4" s="28" t="s">
        <v>436</v>
      </c>
      <c r="C4" s="28" t="s">
        <v>437</v>
      </c>
      <c r="D4" s="28" t="s">
        <v>438</v>
      </c>
      <c r="E4" s="28" t="s">
        <v>129</v>
      </c>
      <c r="F4" s="28" t="s">
        <v>436</v>
      </c>
      <c r="G4" s="28" t="s">
        <v>437</v>
      </c>
      <c r="H4" s="28" t="s">
        <v>438</v>
      </c>
      <c r="I4" s="28" t="s">
        <v>129</v>
      </c>
      <c r="J4" s="28" t="s">
        <v>160</v>
      </c>
      <c r="K4" s="28" t="s">
        <v>159</v>
      </c>
      <c r="L4" s="28" t="s">
        <v>161</v>
      </c>
      <c r="M4" s="28" t="s">
        <v>160</v>
      </c>
      <c r="N4" s="28" t="s">
        <v>159</v>
      </c>
      <c r="O4" s="28" t="s">
        <v>161</v>
      </c>
      <c r="AE4" s="9"/>
      <c r="AF4" s="9"/>
      <c r="AG4" s="9"/>
      <c r="AH4" s="9"/>
      <c r="AI4" s="9"/>
      <c r="AJ4" s="9"/>
      <c r="AK4" s="9"/>
      <c r="AL4" s="9"/>
    </row>
    <row r="5" spans="1:38" x14ac:dyDescent="0.35">
      <c r="A5" t="s">
        <v>71</v>
      </c>
      <c r="B5" s="78">
        <v>31801614.752249993</v>
      </c>
      <c r="C5" s="78">
        <v>448407332.88323998</v>
      </c>
      <c r="D5" s="78">
        <v>480208947.63549</v>
      </c>
      <c r="E5" s="2">
        <f>C5/D5</f>
        <v>0.93377546397492472</v>
      </c>
      <c r="F5" s="78">
        <v>39284325.039999999</v>
      </c>
      <c r="G5" s="78">
        <v>556191372.60000002</v>
      </c>
      <c r="H5" s="78">
        <v>595475697.60000002</v>
      </c>
      <c r="I5" s="2">
        <f>G5/H5</f>
        <v>0.93402866790646333</v>
      </c>
      <c r="J5" s="91">
        <f t="shared" ref="J5:K10" si="0">B5/365</f>
        <v>87127.711649999983</v>
      </c>
      <c r="K5" s="91">
        <f t="shared" si="0"/>
        <v>1228513.2407759998</v>
      </c>
      <c r="L5" s="77">
        <f t="shared" ref="L5:L10" si="1">J5+K5</f>
        <v>1315640.9524259998</v>
      </c>
      <c r="M5" s="77">
        <f t="shared" ref="M5:N10" si="2">F5/365</f>
        <v>107628.28778082192</v>
      </c>
      <c r="N5" s="77">
        <f t="shared" si="2"/>
        <v>1523811.9797260275</v>
      </c>
      <c r="O5" s="77">
        <f t="shared" ref="O5:O10" si="3">M5+N5</f>
        <v>1631440.2675068495</v>
      </c>
      <c r="P5" s="18"/>
      <c r="T5" s="18"/>
      <c r="U5" s="18"/>
      <c r="V5" s="18"/>
      <c r="AE5" s="31"/>
      <c r="AF5" s="31"/>
      <c r="AG5" s="31"/>
      <c r="AH5" s="31"/>
      <c r="AI5" s="31"/>
      <c r="AJ5" s="31"/>
      <c r="AK5" s="31"/>
      <c r="AL5" s="31"/>
    </row>
    <row r="6" spans="1:38" x14ac:dyDescent="0.35">
      <c r="A6" t="s">
        <v>72</v>
      </c>
      <c r="B6" s="78">
        <v>40206303.644400001</v>
      </c>
      <c r="C6" s="78">
        <v>1098544580.40435</v>
      </c>
      <c r="D6" s="78">
        <v>1138750884.0487499</v>
      </c>
      <c r="E6" s="2">
        <f t="shared" ref="E6:E31" si="4">C6/D6</f>
        <v>0.96469262574668735</v>
      </c>
      <c r="F6" s="78">
        <v>216897408</v>
      </c>
      <c r="G6" s="78">
        <v>627477461.5</v>
      </c>
      <c r="H6" s="78">
        <v>844374869.39999998</v>
      </c>
      <c r="I6" s="2">
        <f t="shared" ref="I6:I31" si="5">G6/H6</f>
        <v>0.74312664225295577</v>
      </c>
      <c r="J6" s="91">
        <f t="shared" si="0"/>
        <v>110154.25655999999</v>
      </c>
      <c r="K6" s="91">
        <f t="shared" si="0"/>
        <v>3009711.1791900001</v>
      </c>
      <c r="L6" s="77">
        <f t="shared" si="1"/>
        <v>3119865.4357500002</v>
      </c>
      <c r="M6" s="77">
        <f t="shared" si="2"/>
        <v>594239.47397260275</v>
      </c>
      <c r="N6" s="77">
        <f t="shared" si="2"/>
        <v>1719116.3328767123</v>
      </c>
      <c r="O6" s="77">
        <f t="shared" si="3"/>
        <v>2313355.8068493148</v>
      </c>
      <c r="P6" s="18"/>
      <c r="T6" s="18"/>
      <c r="U6" s="18"/>
      <c r="V6" s="18"/>
      <c r="AE6" s="31"/>
      <c r="AF6" s="31"/>
      <c r="AG6" s="31"/>
      <c r="AH6" s="31"/>
      <c r="AI6" s="31"/>
      <c r="AJ6" s="31"/>
      <c r="AK6" s="31"/>
      <c r="AL6" s="31"/>
    </row>
    <row r="7" spans="1:38" x14ac:dyDescent="0.35">
      <c r="A7" t="s">
        <v>73</v>
      </c>
      <c r="B7" s="78">
        <v>1769255853.7478693</v>
      </c>
      <c r="C7" s="78">
        <v>3808686942.5075397</v>
      </c>
      <c r="D7" s="78">
        <v>5577942796.2554092</v>
      </c>
      <c r="E7" s="2">
        <f t="shared" si="4"/>
        <v>0.6828121193828649</v>
      </c>
      <c r="F7" s="78">
        <v>5557266596</v>
      </c>
      <c r="G7" s="78">
        <v>7247897141</v>
      </c>
      <c r="H7" s="78">
        <v>12805163738</v>
      </c>
      <c r="I7" s="2">
        <f t="shared" si="5"/>
        <v>0.56601362460453997</v>
      </c>
      <c r="J7" s="91">
        <f t="shared" si="0"/>
        <v>4847276.3116379976</v>
      </c>
      <c r="K7" s="91">
        <f t="shared" si="0"/>
        <v>10434758.746595999</v>
      </c>
      <c r="L7" s="77">
        <f t="shared" si="1"/>
        <v>15282035.058233997</v>
      </c>
      <c r="M7" s="77">
        <f t="shared" si="2"/>
        <v>15225387.934246575</v>
      </c>
      <c r="N7" s="77">
        <f t="shared" si="2"/>
        <v>19857252.441095889</v>
      </c>
      <c r="O7" s="77">
        <f t="shared" si="3"/>
        <v>35082640.375342466</v>
      </c>
      <c r="P7" s="18"/>
      <c r="T7" s="18"/>
      <c r="U7" s="18"/>
      <c r="V7" s="18"/>
      <c r="AE7" s="31"/>
      <c r="AF7" s="31"/>
      <c r="AG7" s="31"/>
      <c r="AH7" s="31"/>
      <c r="AI7" s="31"/>
      <c r="AJ7" s="31"/>
      <c r="AK7" s="31"/>
      <c r="AL7" s="31"/>
    </row>
    <row r="8" spans="1:38" x14ac:dyDescent="0.35">
      <c r="A8" t="s">
        <v>74</v>
      </c>
      <c r="B8" s="78">
        <v>116855901.13553999</v>
      </c>
      <c r="C8" s="78">
        <v>1470423264.6215103</v>
      </c>
      <c r="D8" s="78">
        <v>1587279165.7570503</v>
      </c>
      <c r="E8" s="2">
        <f t="shared" si="4"/>
        <v>0.92637974235628184</v>
      </c>
      <c r="F8" s="78">
        <v>848781306.29999995</v>
      </c>
      <c r="G8" s="78">
        <v>1937852389</v>
      </c>
      <c r="H8" s="78">
        <v>2786633695</v>
      </c>
      <c r="I8" s="2">
        <f t="shared" si="5"/>
        <v>0.69540980304553446</v>
      </c>
      <c r="J8" s="91">
        <f t="shared" si="0"/>
        <v>320153.153796</v>
      </c>
      <c r="K8" s="91">
        <f t="shared" si="0"/>
        <v>4028556.889374001</v>
      </c>
      <c r="L8" s="77">
        <f t="shared" si="1"/>
        <v>4348710.0431700014</v>
      </c>
      <c r="M8" s="77">
        <f t="shared" si="2"/>
        <v>2325428.2364383559</v>
      </c>
      <c r="N8" s="77">
        <f t="shared" si="2"/>
        <v>5309184.6273972606</v>
      </c>
      <c r="O8" s="77">
        <f t="shared" si="3"/>
        <v>7634612.863835616</v>
      </c>
      <c r="P8" s="18"/>
      <c r="T8" s="18"/>
      <c r="U8" s="18"/>
      <c r="V8" s="18"/>
      <c r="AE8" s="31"/>
      <c r="AF8" s="31"/>
      <c r="AG8" s="31"/>
      <c r="AH8" s="31"/>
      <c r="AI8" s="31"/>
      <c r="AJ8" s="31"/>
      <c r="AK8" s="31"/>
      <c r="AL8" s="31"/>
    </row>
    <row r="9" spans="1:38" x14ac:dyDescent="0.35">
      <c r="A9" t="s">
        <v>75</v>
      </c>
      <c r="B9" s="78"/>
      <c r="C9" s="78"/>
      <c r="D9" s="78"/>
      <c r="E9" s="2"/>
      <c r="F9" s="78">
        <v>888030482.39999998</v>
      </c>
      <c r="G9" s="78">
        <v>995644671</v>
      </c>
      <c r="H9" s="78">
        <v>1883675153</v>
      </c>
      <c r="I9" s="2">
        <f t="shared" si="5"/>
        <v>0.52856495421426841</v>
      </c>
      <c r="J9" s="91">
        <f t="shared" si="0"/>
        <v>0</v>
      </c>
      <c r="K9" s="91">
        <f t="shared" si="0"/>
        <v>0</v>
      </c>
      <c r="L9" s="77">
        <f t="shared" si="1"/>
        <v>0</v>
      </c>
      <c r="M9" s="77">
        <f t="shared" si="2"/>
        <v>2432960.2257534247</v>
      </c>
      <c r="N9" s="77">
        <f t="shared" si="2"/>
        <v>2727793.6191780823</v>
      </c>
      <c r="O9" s="77">
        <f t="shared" si="3"/>
        <v>5160753.8449315075</v>
      </c>
      <c r="P9" s="18"/>
      <c r="U9" s="18"/>
      <c r="V9" s="18"/>
      <c r="AE9" s="31"/>
      <c r="AF9" s="31"/>
      <c r="AG9" s="31"/>
      <c r="AH9" s="31"/>
      <c r="AI9" s="31"/>
      <c r="AJ9" s="31"/>
      <c r="AK9" s="31"/>
      <c r="AL9" s="31"/>
    </row>
    <row r="10" spans="1:38" x14ac:dyDescent="0.35">
      <c r="A10" t="s">
        <v>76</v>
      </c>
      <c r="B10" s="78"/>
      <c r="C10" s="78"/>
      <c r="D10" s="78"/>
      <c r="E10" s="2"/>
      <c r="F10" s="78">
        <v>126581678.90000001</v>
      </c>
      <c r="G10" s="78">
        <v>949103149.70000005</v>
      </c>
      <c r="H10" s="78">
        <v>1075684829</v>
      </c>
      <c r="I10" s="2">
        <f t="shared" si="5"/>
        <v>0.88232456581387753</v>
      </c>
      <c r="J10" s="91">
        <f t="shared" si="0"/>
        <v>0</v>
      </c>
      <c r="K10" s="91">
        <f t="shared" si="0"/>
        <v>0</v>
      </c>
      <c r="L10" s="77">
        <f t="shared" si="1"/>
        <v>0</v>
      </c>
      <c r="M10" s="77">
        <f t="shared" si="2"/>
        <v>346799.12027397263</v>
      </c>
      <c r="N10" s="77">
        <f t="shared" si="2"/>
        <v>2600282.6019178084</v>
      </c>
      <c r="O10" s="77">
        <f t="shared" si="3"/>
        <v>2947081.7221917808</v>
      </c>
      <c r="P10" s="18"/>
      <c r="U10" s="18"/>
      <c r="V10" s="18"/>
      <c r="AE10" s="31"/>
      <c r="AF10" s="31"/>
      <c r="AG10" s="31"/>
      <c r="AH10" s="31"/>
      <c r="AI10" s="31"/>
      <c r="AJ10" s="31"/>
      <c r="AK10" s="31"/>
      <c r="AL10" s="31"/>
    </row>
    <row r="11" spans="1:38" x14ac:dyDescent="0.35">
      <c r="A11" t="s">
        <v>77</v>
      </c>
      <c r="B11" s="78"/>
      <c r="C11" s="78">
        <v>775798804.18671</v>
      </c>
      <c r="D11" s="78">
        <v>775798804.18671</v>
      </c>
      <c r="E11" s="2">
        <f t="shared" si="4"/>
        <v>1</v>
      </c>
      <c r="F11" s="78">
        <v>97813660.620000005</v>
      </c>
      <c r="G11" s="78">
        <v>2102816906</v>
      </c>
      <c r="H11" s="78">
        <v>2200630566</v>
      </c>
      <c r="I11" s="2">
        <f t="shared" si="5"/>
        <v>0.95555198518495899</v>
      </c>
      <c r="J11" s="91">
        <f t="shared" ref="J11:J30" si="6">B11/365</f>
        <v>0</v>
      </c>
      <c r="K11" s="91">
        <f t="shared" ref="K11:K30" si="7">C11/365</f>
        <v>2125476.1758539998</v>
      </c>
      <c r="L11" s="77">
        <f t="shared" ref="L11:L30" si="8">J11+K11</f>
        <v>2125476.1758539998</v>
      </c>
      <c r="M11" s="77">
        <f t="shared" ref="M11:M30" si="9">F11/365</f>
        <v>267982.63183561643</v>
      </c>
      <c r="N11" s="77">
        <f t="shared" ref="N11:N30" si="10">G11/365</f>
        <v>5761142.208219178</v>
      </c>
      <c r="O11" s="77">
        <f t="shared" ref="O11:O30" si="11">M11+N11</f>
        <v>6029124.8400547942</v>
      </c>
      <c r="P11" s="18"/>
      <c r="T11" s="18"/>
      <c r="U11" s="18"/>
      <c r="V11" s="18"/>
      <c r="AE11" s="31"/>
      <c r="AF11" s="31"/>
      <c r="AG11" s="31"/>
      <c r="AH11" s="31"/>
      <c r="AI11" s="31"/>
      <c r="AJ11" s="31"/>
      <c r="AK11" s="31"/>
      <c r="AL11" s="31"/>
    </row>
    <row r="12" spans="1:38" x14ac:dyDescent="0.35">
      <c r="A12" t="s">
        <v>78</v>
      </c>
      <c r="B12" s="78">
        <v>7349327222.710804</v>
      </c>
      <c r="C12" s="78">
        <v>23224173448.786945</v>
      </c>
      <c r="D12" s="78">
        <v>30573500671.497749</v>
      </c>
      <c r="E12" s="2">
        <f t="shared" si="4"/>
        <v>0.75961773884917805</v>
      </c>
      <c r="F12" s="78">
        <v>27454904381</v>
      </c>
      <c r="G12" s="78">
        <v>22220713215</v>
      </c>
      <c r="H12" s="78">
        <v>49675617596</v>
      </c>
      <c r="I12" s="2">
        <f t="shared" si="5"/>
        <v>0.4473162950024252</v>
      </c>
      <c r="J12" s="91">
        <f t="shared" si="6"/>
        <v>20135143.075920012</v>
      </c>
      <c r="K12" s="91">
        <f t="shared" si="7"/>
        <v>63627872.462429985</v>
      </c>
      <c r="L12" s="77">
        <f t="shared" si="8"/>
        <v>83763015.538350001</v>
      </c>
      <c r="M12" s="77">
        <f t="shared" si="9"/>
        <v>75218916.112328768</v>
      </c>
      <c r="N12" s="77">
        <f t="shared" si="10"/>
        <v>60878666.342465751</v>
      </c>
      <c r="O12" s="77">
        <f t="shared" si="11"/>
        <v>136097582.45479453</v>
      </c>
      <c r="P12" s="18"/>
      <c r="T12" s="18"/>
      <c r="U12" s="18"/>
      <c r="V12" s="18"/>
      <c r="AE12" s="31"/>
      <c r="AF12" s="31"/>
      <c r="AG12" s="31"/>
      <c r="AH12" s="31"/>
      <c r="AI12" s="31"/>
      <c r="AJ12" s="31"/>
      <c r="AK12" s="31"/>
      <c r="AL12" s="31"/>
    </row>
    <row r="13" spans="1:38" x14ac:dyDescent="0.35">
      <c r="A13" t="s">
        <v>79</v>
      </c>
      <c r="B13" s="78">
        <v>393668151.97161001</v>
      </c>
      <c r="C13" s="78">
        <v>2225432299.3887897</v>
      </c>
      <c r="D13" s="78">
        <v>2619100451.3603997</v>
      </c>
      <c r="E13" s="2">
        <f t="shared" si="4"/>
        <v>0.84969337401048017</v>
      </c>
      <c r="F13" s="78">
        <v>2147389471</v>
      </c>
      <c r="G13" s="78">
        <v>1794889201</v>
      </c>
      <c r="H13" s="78">
        <v>3942278672</v>
      </c>
      <c r="I13" s="2">
        <f t="shared" si="5"/>
        <v>0.45529231957856886</v>
      </c>
      <c r="J13" s="91">
        <f t="shared" si="6"/>
        <v>1078542.8821139999</v>
      </c>
      <c r="K13" s="91">
        <f t="shared" si="7"/>
        <v>6097074.7928459989</v>
      </c>
      <c r="L13" s="77">
        <f t="shared" si="8"/>
        <v>7175617.6749599986</v>
      </c>
      <c r="M13" s="77">
        <f t="shared" si="9"/>
        <v>5883258.8246575342</v>
      </c>
      <c r="N13" s="77">
        <f t="shared" si="10"/>
        <v>4917504.6602739729</v>
      </c>
      <c r="O13" s="77">
        <f t="shared" si="11"/>
        <v>10800763.484931506</v>
      </c>
      <c r="P13" s="18"/>
      <c r="T13" s="18"/>
      <c r="U13" s="18"/>
      <c r="V13" s="18"/>
      <c r="AE13" s="31"/>
      <c r="AF13" s="31"/>
      <c r="AG13" s="31"/>
      <c r="AH13" s="31"/>
      <c r="AI13" s="31"/>
      <c r="AJ13" s="31"/>
      <c r="AK13" s="31"/>
      <c r="AL13" s="31"/>
    </row>
    <row r="14" spans="1:38" x14ac:dyDescent="0.35">
      <c r="A14" t="s">
        <v>80</v>
      </c>
      <c r="B14" s="78"/>
      <c r="C14" s="78"/>
      <c r="D14" s="78"/>
      <c r="E14" s="2"/>
      <c r="F14" s="78">
        <v>210550422.69999999</v>
      </c>
      <c r="G14" s="78">
        <v>768056284.79999995</v>
      </c>
      <c r="H14" s="78">
        <v>978606707.5</v>
      </c>
      <c r="I14" s="2">
        <f t="shared" si="5"/>
        <v>0.78484674069128013</v>
      </c>
      <c r="J14" s="91">
        <f t="shared" si="6"/>
        <v>0</v>
      </c>
      <c r="K14" s="91">
        <f t="shared" si="7"/>
        <v>0</v>
      </c>
      <c r="L14" s="77">
        <f t="shared" si="8"/>
        <v>0</v>
      </c>
      <c r="M14" s="77">
        <f t="shared" si="9"/>
        <v>576850.47315068485</v>
      </c>
      <c r="N14" s="77">
        <f t="shared" si="10"/>
        <v>2104263.7939726026</v>
      </c>
      <c r="O14" s="77">
        <f t="shared" si="11"/>
        <v>2681114.2671232875</v>
      </c>
      <c r="P14" s="18"/>
      <c r="U14" s="18"/>
      <c r="V14" s="18"/>
      <c r="AE14" s="31"/>
      <c r="AF14" s="31"/>
      <c r="AG14" s="31"/>
      <c r="AH14" s="31"/>
      <c r="AI14" s="31"/>
      <c r="AJ14" s="31"/>
      <c r="AK14" s="31"/>
      <c r="AL14" s="31"/>
    </row>
    <row r="15" spans="1:38" x14ac:dyDescent="0.35">
      <c r="A15" t="s">
        <v>81</v>
      </c>
      <c r="B15" s="78"/>
      <c r="C15" s="78"/>
      <c r="D15" s="78"/>
      <c r="E15" s="2"/>
      <c r="F15" s="78">
        <v>1902455486</v>
      </c>
      <c r="G15" s="78">
        <v>2273478915</v>
      </c>
      <c r="H15" s="78">
        <v>4175934400</v>
      </c>
      <c r="I15" s="2">
        <f t="shared" si="5"/>
        <v>0.54442400124867862</v>
      </c>
      <c r="J15" s="91">
        <f t="shared" si="6"/>
        <v>0</v>
      </c>
      <c r="K15" s="91">
        <f t="shared" si="7"/>
        <v>0</v>
      </c>
      <c r="L15" s="77">
        <f t="shared" si="8"/>
        <v>0</v>
      </c>
      <c r="M15" s="77">
        <f t="shared" si="9"/>
        <v>5212206.8109589042</v>
      </c>
      <c r="N15" s="77">
        <f t="shared" si="10"/>
        <v>6228709.3561643837</v>
      </c>
      <c r="O15" s="77">
        <f t="shared" si="11"/>
        <v>11440916.167123288</v>
      </c>
      <c r="P15" s="18"/>
      <c r="U15" s="18"/>
      <c r="V15" s="18"/>
      <c r="AE15" s="31"/>
      <c r="AF15" s="31"/>
      <c r="AG15" s="31"/>
      <c r="AH15" s="31"/>
      <c r="AI15" s="31"/>
      <c r="AJ15" s="31"/>
      <c r="AK15" s="31"/>
      <c r="AL15" s="31"/>
    </row>
    <row r="16" spans="1:38" x14ac:dyDescent="0.35">
      <c r="A16" t="s">
        <v>82</v>
      </c>
      <c r="B16" s="78">
        <v>7990040549.2975502</v>
      </c>
      <c r="C16" s="78">
        <v>10964492785.344564</v>
      </c>
      <c r="D16" s="78">
        <v>18954533334.642113</v>
      </c>
      <c r="E16" s="2">
        <f t="shared" si="4"/>
        <v>0.57846281898723351</v>
      </c>
      <c r="F16" s="78">
        <v>17453082689</v>
      </c>
      <c r="G16" s="78">
        <v>16217487070</v>
      </c>
      <c r="H16" s="78">
        <v>33670569759</v>
      </c>
      <c r="I16" s="2">
        <f t="shared" si="5"/>
        <v>0.4816516971966337</v>
      </c>
      <c r="J16" s="91">
        <f t="shared" si="6"/>
        <v>21890522.052870002</v>
      </c>
      <c r="K16" s="91">
        <f t="shared" si="7"/>
        <v>30039706.261217985</v>
      </c>
      <c r="L16" s="77">
        <f t="shared" si="8"/>
        <v>51930228.314087987</v>
      </c>
      <c r="M16" s="77">
        <f t="shared" si="9"/>
        <v>47816664.901369862</v>
      </c>
      <c r="N16" s="77">
        <f t="shared" si="10"/>
        <v>44431471.424657531</v>
      </c>
      <c r="O16" s="77">
        <f t="shared" si="11"/>
        <v>92248136.326027393</v>
      </c>
      <c r="P16" s="18"/>
      <c r="T16" s="18"/>
      <c r="U16" s="18"/>
      <c r="V16" s="18"/>
      <c r="AE16" s="31"/>
      <c r="AF16" s="31"/>
      <c r="AG16" s="31"/>
      <c r="AH16" s="31"/>
      <c r="AI16" s="31"/>
      <c r="AJ16" s="31"/>
      <c r="AK16" s="31"/>
      <c r="AL16" s="31"/>
    </row>
    <row r="17" spans="1:38" x14ac:dyDescent="0.35">
      <c r="A17" t="s">
        <v>83</v>
      </c>
      <c r="B17" s="78">
        <v>26036096.548590001</v>
      </c>
      <c r="C17" s="78">
        <v>1504582586.8888202</v>
      </c>
      <c r="D17" s="78">
        <v>1530618683.4374101</v>
      </c>
      <c r="E17" s="2">
        <f t="shared" si="4"/>
        <v>0.98298982180844741</v>
      </c>
      <c r="F17" s="78">
        <v>160485037.40000001</v>
      </c>
      <c r="G17" s="78">
        <v>1492940875</v>
      </c>
      <c r="H17" s="78">
        <v>1653425912</v>
      </c>
      <c r="I17" s="2">
        <f t="shared" si="5"/>
        <v>0.90293787230788236</v>
      </c>
      <c r="J17" s="91">
        <f t="shared" si="6"/>
        <v>71331.771366000001</v>
      </c>
      <c r="K17" s="91">
        <f t="shared" si="7"/>
        <v>4122144.0736680003</v>
      </c>
      <c r="L17" s="77">
        <f t="shared" si="8"/>
        <v>4193475.8450340005</v>
      </c>
      <c r="M17" s="77">
        <f t="shared" si="9"/>
        <v>439685.03397260275</v>
      </c>
      <c r="N17" s="77">
        <f t="shared" si="10"/>
        <v>4090248.9726027399</v>
      </c>
      <c r="O17" s="77">
        <f t="shared" si="11"/>
        <v>4529934.0065753423</v>
      </c>
      <c r="P17" s="18"/>
      <c r="T17" s="18"/>
      <c r="U17" s="18"/>
      <c r="V17" s="18"/>
      <c r="AE17" s="31"/>
      <c r="AF17" s="31"/>
      <c r="AG17" s="31"/>
      <c r="AH17" s="31"/>
      <c r="AI17" s="31"/>
      <c r="AJ17" s="31"/>
      <c r="AK17" s="31"/>
      <c r="AL17" s="31"/>
    </row>
    <row r="18" spans="1:38" x14ac:dyDescent="0.35">
      <c r="A18" t="s">
        <v>84</v>
      </c>
      <c r="B18" s="78">
        <v>10118430.66525</v>
      </c>
      <c r="C18" s="78">
        <v>615403441.86522007</v>
      </c>
      <c r="D18" s="78">
        <v>625521872.53047001</v>
      </c>
      <c r="E18" s="2">
        <f t="shared" si="4"/>
        <v>0.98382401781680773</v>
      </c>
      <c r="F18" s="78">
        <v>126020380.59999999</v>
      </c>
      <c r="G18" s="78">
        <v>729194524.10000002</v>
      </c>
      <c r="H18" s="78">
        <v>855214904.70000005</v>
      </c>
      <c r="I18" s="2">
        <f t="shared" si="5"/>
        <v>0.85264477980045661</v>
      </c>
      <c r="J18" s="91">
        <f t="shared" si="6"/>
        <v>27721.727849999999</v>
      </c>
      <c r="K18" s="91">
        <f t="shared" si="7"/>
        <v>1686036.8270280003</v>
      </c>
      <c r="L18" s="77">
        <f t="shared" si="8"/>
        <v>1713758.5548780002</v>
      </c>
      <c r="M18" s="77">
        <f t="shared" si="9"/>
        <v>345261.31671232876</v>
      </c>
      <c r="N18" s="77">
        <f t="shared" si="10"/>
        <v>1997793.2167123288</v>
      </c>
      <c r="O18" s="77">
        <f t="shared" si="11"/>
        <v>2343054.5334246578</v>
      </c>
      <c r="P18" s="18"/>
      <c r="T18" s="18"/>
      <c r="U18" s="18"/>
      <c r="V18" s="18"/>
      <c r="AE18" s="31"/>
      <c r="AF18" s="31"/>
      <c r="AG18" s="31"/>
      <c r="AH18" s="31"/>
      <c r="AI18" s="31"/>
      <c r="AJ18" s="31"/>
      <c r="AK18" s="31"/>
      <c r="AL18" s="31"/>
    </row>
    <row r="19" spans="1:38" x14ac:dyDescent="0.35">
      <c r="A19" t="s">
        <v>85</v>
      </c>
      <c r="B19" s="78"/>
      <c r="C19" s="78">
        <v>1145643105.0909901</v>
      </c>
      <c r="D19" s="78">
        <v>1145643105.0909901</v>
      </c>
      <c r="E19" s="2">
        <f t="shared" si="4"/>
        <v>1</v>
      </c>
      <c r="F19" s="78">
        <v>386649193.39999998</v>
      </c>
      <c r="G19" s="78">
        <v>1162180205</v>
      </c>
      <c r="H19" s="78">
        <v>1548829398</v>
      </c>
      <c r="I19" s="2">
        <f t="shared" si="5"/>
        <v>0.75036037313129567</v>
      </c>
      <c r="J19" s="91">
        <f t="shared" si="6"/>
        <v>0</v>
      </c>
      <c r="K19" s="91">
        <f t="shared" si="7"/>
        <v>3138748.233126</v>
      </c>
      <c r="L19" s="77">
        <f t="shared" si="8"/>
        <v>3138748.233126</v>
      </c>
      <c r="M19" s="77">
        <f t="shared" si="9"/>
        <v>1059312.8586301368</v>
      </c>
      <c r="N19" s="77">
        <f t="shared" si="10"/>
        <v>3184055.3561643837</v>
      </c>
      <c r="O19" s="77">
        <f t="shared" si="11"/>
        <v>4243368.2147945203</v>
      </c>
      <c r="P19" s="18"/>
      <c r="T19" s="18"/>
      <c r="U19" s="18"/>
      <c r="V19" s="18"/>
      <c r="AE19" s="31"/>
      <c r="AF19" s="31"/>
      <c r="AG19" s="31"/>
      <c r="AH19" s="31"/>
      <c r="AI19" s="31"/>
      <c r="AJ19" s="31"/>
      <c r="AK19" s="31"/>
      <c r="AL19" s="31"/>
    </row>
    <row r="20" spans="1:38" x14ac:dyDescent="0.35">
      <c r="A20" t="s">
        <v>86</v>
      </c>
      <c r="B20" s="78"/>
      <c r="C20" s="78">
        <v>309935001.49745995</v>
      </c>
      <c r="D20" s="78">
        <v>309935001.49745995</v>
      </c>
      <c r="E20" s="2">
        <f t="shared" si="4"/>
        <v>1</v>
      </c>
      <c r="F20" s="78">
        <v>179445880.90000001</v>
      </c>
      <c r="G20" s="78">
        <v>899586214.39999998</v>
      </c>
      <c r="H20" s="78">
        <v>1079032095</v>
      </c>
      <c r="I20" s="2">
        <f t="shared" si="5"/>
        <v>0.8336973650445495</v>
      </c>
      <c r="J20" s="91">
        <f t="shared" si="6"/>
        <v>0</v>
      </c>
      <c r="K20" s="91">
        <f t="shared" si="7"/>
        <v>849136.99040399981</v>
      </c>
      <c r="L20" s="77">
        <f t="shared" si="8"/>
        <v>849136.99040399981</v>
      </c>
      <c r="M20" s="77">
        <f t="shared" si="9"/>
        <v>491632.55041095894</v>
      </c>
      <c r="N20" s="77">
        <f t="shared" si="10"/>
        <v>2464619.765479452</v>
      </c>
      <c r="O20" s="77">
        <f t="shared" si="11"/>
        <v>2956252.3158904109</v>
      </c>
      <c r="P20" s="18"/>
      <c r="T20" s="18"/>
      <c r="U20" s="18"/>
      <c r="V20" s="18"/>
      <c r="AE20" s="31"/>
      <c r="AF20" s="31"/>
      <c r="AG20" s="31"/>
      <c r="AH20" s="31"/>
      <c r="AI20" s="31"/>
      <c r="AJ20" s="31"/>
      <c r="AK20" s="31"/>
      <c r="AL20" s="31"/>
    </row>
    <row r="21" spans="1:38" x14ac:dyDescent="0.35">
      <c r="A21" t="s">
        <v>87</v>
      </c>
      <c r="B21" s="78">
        <v>22342254.666299999</v>
      </c>
      <c r="C21" s="78">
        <v>973990610.95647013</v>
      </c>
      <c r="D21" s="78">
        <v>996332865.62277007</v>
      </c>
      <c r="E21" s="2">
        <f t="shared" si="4"/>
        <v>0.97757551172184343</v>
      </c>
      <c r="F21" s="78">
        <v>203559295.5</v>
      </c>
      <c r="G21" s="78">
        <v>1104869647</v>
      </c>
      <c r="H21" s="78">
        <v>1308428943</v>
      </c>
      <c r="I21" s="2">
        <f t="shared" si="5"/>
        <v>0.84442464599317568</v>
      </c>
      <c r="J21" s="91">
        <f t="shared" si="6"/>
        <v>61211.656619999994</v>
      </c>
      <c r="K21" s="91">
        <f t="shared" si="7"/>
        <v>2668467.4272780004</v>
      </c>
      <c r="L21" s="77">
        <f t="shared" si="8"/>
        <v>2729679.0838980004</v>
      </c>
      <c r="M21" s="77">
        <f t="shared" si="9"/>
        <v>557696.69999999995</v>
      </c>
      <c r="N21" s="77">
        <f t="shared" si="10"/>
        <v>3027040.1287671234</v>
      </c>
      <c r="O21" s="77">
        <f t="shared" si="11"/>
        <v>3584736.8287671236</v>
      </c>
      <c r="P21" s="18"/>
      <c r="T21" s="18"/>
      <c r="U21" s="18"/>
      <c r="V21" s="18"/>
      <c r="AE21" s="31"/>
      <c r="AF21" s="31"/>
      <c r="AG21" s="31"/>
      <c r="AH21" s="31"/>
      <c r="AI21" s="31"/>
      <c r="AJ21" s="31"/>
      <c r="AK21" s="31"/>
      <c r="AL21" s="31"/>
    </row>
    <row r="22" spans="1:38" x14ac:dyDescent="0.35">
      <c r="A22" t="s">
        <v>88</v>
      </c>
      <c r="B22" s="78"/>
      <c r="C22" s="78"/>
      <c r="D22" s="78"/>
      <c r="E22" s="2"/>
      <c r="F22" s="78">
        <v>85491388.5</v>
      </c>
      <c r="G22" s="78">
        <v>759796345.89999998</v>
      </c>
      <c r="H22" s="78">
        <v>845287734.39999998</v>
      </c>
      <c r="I22" s="2">
        <f t="shared" si="5"/>
        <v>0.89886119835787837</v>
      </c>
      <c r="J22" s="91">
        <f t="shared" si="6"/>
        <v>0</v>
      </c>
      <c r="K22" s="91">
        <f t="shared" si="7"/>
        <v>0</v>
      </c>
      <c r="L22" s="77">
        <f t="shared" si="8"/>
        <v>0</v>
      </c>
      <c r="M22" s="77">
        <f t="shared" si="9"/>
        <v>234222.98219178081</v>
      </c>
      <c r="N22" s="77">
        <f t="shared" si="10"/>
        <v>2081633.8243835615</v>
      </c>
      <c r="O22" s="77">
        <f t="shared" si="11"/>
        <v>2315856.8065753421</v>
      </c>
      <c r="P22" s="18"/>
      <c r="U22" s="18"/>
      <c r="V22" s="18"/>
      <c r="AE22" s="31"/>
      <c r="AF22" s="31"/>
      <c r="AG22" s="31"/>
      <c r="AH22" s="31"/>
      <c r="AI22" s="31"/>
      <c r="AJ22" s="31"/>
      <c r="AK22" s="31"/>
      <c r="AL22" s="31"/>
    </row>
    <row r="23" spans="1:38" x14ac:dyDescent="0.35">
      <c r="A23" t="s">
        <v>233</v>
      </c>
      <c r="B23" s="78">
        <v>2372252579.8327208</v>
      </c>
      <c r="C23" s="78">
        <v>9443804686.5050106</v>
      </c>
      <c r="D23" s="78">
        <v>11816057266.33773</v>
      </c>
      <c r="E23" s="2">
        <f t="shared" si="4"/>
        <v>0.79923484404642053</v>
      </c>
      <c r="F23" s="78">
        <v>4739460024</v>
      </c>
      <c r="G23" s="78">
        <v>4253470783</v>
      </c>
      <c r="H23" s="78">
        <v>8992930807</v>
      </c>
      <c r="I23" s="2">
        <f t="shared" si="5"/>
        <v>0.47297937394215739</v>
      </c>
      <c r="J23" s="91">
        <f t="shared" si="6"/>
        <v>6499322.1365280021</v>
      </c>
      <c r="K23" s="91">
        <f t="shared" si="7"/>
        <v>25873437.497274</v>
      </c>
      <c r="L23" s="77">
        <f t="shared" si="8"/>
        <v>32372759.633802004</v>
      </c>
      <c r="M23" s="77">
        <f t="shared" si="9"/>
        <v>12984821.983561644</v>
      </c>
      <c r="N23" s="77">
        <f t="shared" si="10"/>
        <v>11653344.610958904</v>
      </c>
      <c r="O23" s="77">
        <f t="shared" si="11"/>
        <v>24638166.594520546</v>
      </c>
      <c r="P23" s="18"/>
      <c r="T23" s="18"/>
      <c r="U23" s="18"/>
      <c r="V23" s="18"/>
      <c r="AE23" s="31"/>
      <c r="AF23" s="31"/>
      <c r="AG23" s="31"/>
      <c r="AH23" s="31"/>
      <c r="AI23" s="31"/>
      <c r="AJ23" s="31"/>
      <c r="AK23" s="31"/>
      <c r="AL23" s="31"/>
    </row>
    <row r="24" spans="1:38" x14ac:dyDescent="0.35">
      <c r="A24" t="s">
        <v>90</v>
      </c>
      <c r="B24" s="78"/>
      <c r="C24" s="78"/>
      <c r="D24" s="78"/>
      <c r="E24" s="2"/>
      <c r="F24" s="78">
        <v>29695202.59</v>
      </c>
      <c r="G24" s="78">
        <v>1103384010</v>
      </c>
      <c r="H24" s="78">
        <v>1133079213</v>
      </c>
      <c r="I24" s="2">
        <f t="shared" si="5"/>
        <v>0.97379247394241975</v>
      </c>
      <c r="J24" s="91">
        <f t="shared" si="6"/>
        <v>0</v>
      </c>
      <c r="K24" s="91">
        <f t="shared" si="7"/>
        <v>0</v>
      </c>
      <c r="L24" s="77">
        <f t="shared" si="8"/>
        <v>0</v>
      </c>
      <c r="M24" s="77">
        <f t="shared" si="9"/>
        <v>81356.719424657538</v>
      </c>
      <c r="N24" s="77">
        <f t="shared" si="10"/>
        <v>3022969.8904109588</v>
      </c>
      <c r="O24" s="77">
        <f t="shared" si="11"/>
        <v>3104326.6098356163</v>
      </c>
      <c r="P24" s="18"/>
      <c r="U24" s="18"/>
      <c r="V24" s="18"/>
      <c r="AE24" s="31"/>
      <c r="AF24" s="31"/>
      <c r="AG24" s="31"/>
      <c r="AH24" s="31"/>
      <c r="AI24" s="31"/>
      <c r="AJ24" s="31"/>
      <c r="AK24" s="31"/>
      <c r="AL24" s="31"/>
    </row>
    <row r="25" spans="1:38" x14ac:dyDescent="0.35">
      <c r="A25" t="s">
        <v>91</v>
      </c>
      <c r="B25" s="78"/>
      <c r="C25" s="78">
        <v>842867073.74889004</v>
      </c>
      <c r="D25" s="78">
        <v>842867073.74889004</v>
      </c>
      <c r="E25" s="2">
        <f t="shared" si="4"/>
        <v>1</v>
      </c>
      <c r="F25" s="78">
        <v>130835006.90000001</v>
      </c>
      <c r="G25" s="78">
        <v>376765772.69999999</v>
      </c>
      <c r="H25" s="78">
        <v>507600779.60000002</v>
      </c>
      <c r="I25" s="2">
        <f t="shared" si="5"/>
        <v>0.74224821521531004</v>
      </c>
      <c r="J25" s="91">
        <f t="shared" si="6"/>
        <v>0</v>
      </c>
      <c r="K25" s="91">
        <f t="shared" si="7"/>
        <v>2309224.859586</v>
      </c>
      <c r="L25" s="77">
        <f t="shared" si="8"/>
        <v>2309224.859586</v>
      </c>
      <c r="M25" s="77">
        <f t="shared" si="9"/>
        <v>358452.07369863015</v>
      </c>
      <c r="N25" s="77">
        <f t="shared" si="10"/>
        <v>1032234.9936986301</v>
      </c>
      <c r="O25" s="77">
        <f t="shared" si="11"/>
        <v>1390687.0673972603</v>
      </c>
      <c r="P25" s="18"/>
      <c r="T25" s="18"/>
      <c r="U25" s="18"/>
      <c r="V25" s="18"/>
      <c r="AE25" s="31"/>
      <c r="AF25" s="31"/>
      <c r="AG25" s="31"/>
      <c r="AH25" s="31"/>
      <c r="AI25" s="31"/>
      <c r="AJ25" s="31"/>
      <c r="AK25" s="31"/>
      <c r="AL25" s="31"/>
    </row>
    <row r="26" spans="1:38" x14ac:dyDescent="0.35">
      <c r="A26" t="s">
        <v>92</v>
      </c>
      <c r="B26" s="78"/>
      <c r="C26" s="78">
        <v>599947484.28239989</v>
      </c>
      <c r="D26" s="78">
        <v>599947484.28239989</v>
      </c>
      <c r="E26" s="2">
        <f t="shared" si="4"/>
        <v>1</v>
      </c>
      <c r="F26" s="78">
        <v>601592250.39999998</v>
      </c>
      <c r="G26" s="78">
        <v>1253780575</v>
      </c>
      <c r="H26" s="78">
        <v>1855372825</v>
      </c>
      <c r="I26" s="2">
        <f t="shared" si="5"/>
        <v>0.67575667709803822</v>
      </c>
      <c r="J26" s="91">
        <f t="shared" si="6"/>
        <v>0</v>
      </c>
      <c r="K26" s="91">
        <f t="shared" si="7"/>
        <v>1643691.7377599997</v>
      </c>
      <c r="L26" s="77">
        <f t="shared" si="8"/>
        <v>1643691.7377599997</v>
      </c>
      <c r="M26" s="77">
        <f t="shared" si="9"/>
        <v>1648197.9463013697</v>
      </c>
      <c r="N26" s="77">
        <f t="shared" si="10"/>
        <v>3435015.2739726026</v>
      </c>
      <c r="O26" s="77">
        <f t="shared" si="11"/>
        <v>5083213.2202739725</v>
      </c>
      <c r="P26" s="18"/>
      <c r="T26" s="18"/>
      <c r="U26" s="18"/>
      <c r="V26" s="18"/>
      <c r="AE26" s="31"/>
      <c r="AF26" s="31"/>
      <c r="AG26" s="31"/>
      <c r="AH26" s="31"/>
      <c r="AI26" s="31"/>
      <c r="AJ26" s="31"/>
      <c r="AK26" s="31"/>
      <c r="AL26" s="31"/>
    </row>
    <row r="27" spans="1:38" x14ac:dyDescent="0.35">
      <c r="A27" t="s">
        <v>93</v>
      </c>
      <c r="B27" s="78"/>
      <c r="C27" s="78"/>
      <c r="D27" s="78"/>
      <c r="E27" s="2"/>
      <c r="F27" s="78">
        <v>193588564.40000001</v>
      </c>
      <c r="G27" s="78">
        <v>812155186.5</v>
      </c>
      <c r="H27" s="78">
        <v>1005743751</v>
      </c>
      <c r="I27" s="2">
        <f t="shared" si="5"/>
        <v>0.8075170098670591</v>
      </c>
      <c r="J27" s="91">
        <f t="shared" si="6"/>
        <v>0</v>
      </c>
      <c r="K27" s="91">
        <f t="shared" si="7"/>
        <v>0</v>
      </c>
      <c r="L27" s="77">
        <f t="shared" si="8"/>
        <v>0</v>
      </c>
      <c r="M27" s="77">
        <f t="shared" si="9"/>
        <v>530379.6284931507</v>
      </c>
      <c r="N27" s="77">
        <f t="shared" si="10"/>
        <v>2225082.7027397258</v>
      </c>
      <c r="O27" s="77">
        <f t="shared" si="11"/>
        <v>2755462.3312328765</v>
      </c>
      <c r="P27" s="18"/>
      <c r="U27" s="18"/>
      <c r="V27" s="18"/>
      <c r="AE27" s="31"/>
      <c r="AF27" s="31"/>
      <c r="AG27" s="31"/>
      <c r="AH27" s="31"/>
      <c r="AI27" s="31"/>
      <c r="AJ27" s="31"/>
      <c r="AK27" s="31"/>
      <c r="AL27" s="31"/>
    </row>
    <row r="28" spans="1:38" x14ac:dyDescent="0.35">
      <c r="A28" t="s">
        <v>94</v>
      </c>
      <c r="B28" s="78"/>
      <c r="C28" s="78">
        <v>1627013706.0071998</v>
      </c>
      <c r="D28" s="78">
        <v>1627013706.0071998</v>
      </c>
      <c r="E28" s="2">
        <f t="shared" si="4"/>
        <v>1</v>
      </c>
      <c r="F28" s="78">
        <v>169974353.19999999</v>
      </c>
      <c r="G28" s="78">
        <v>678545332.29999995</v>
      </c>
      <c r="H28" s="78">
        <v>848519685.5</v>
      </c>
      <c r="I28" s="2">
        <f t="shared" si="5"/>
        <v>0.79968130839552565</v>
      </c>
      <c r="J28" s="91">
        <f t="shared" si="6"/>
        <v>0</v>
      </c>
      <c r="K28" s="91">
        <f t="shared" si="7"/>
        <v>4457571.7972799996</v>
      </c>
      <c r="L28" s="77">
        <f t="shared" si="8"/>
        <v>4457571.7972799996</v>
      </c>
      <c r="M28" s="77">
        <f t="shared" si="9"/>
        <v>465683.15945205477</v>
      </c>
      <c r="N28" s="77">
        <f t="shared" si="10"/>
        <v>1859028.3076712328</v>
      </c>
      <c r="O28" s="77">
        <f t="shared" si="11"/>
        <v>2324711.4671232877</v>
      </c>
      <c r="P28" s="18"/>
      <c r="T28" s="18"/>
      <c r="U28" s="18"/>
      <c r="V28" s="18"/>
      <c r="AE28" s="31"/>
      <c r="AF28" s="31"/>
      <c r="AG28" s="31"/>
      <c r="AH28" s="31"/>
      <c r="AI28" s="31"/>
      <c r="AJ28" s="31"/>
      <c r="AK28" s="31"/>
      <c r="AL28" s="31"/>
    </row>
    <row r="29" spans="1:38" x14ac:dyDescent="0.35">
      <c r="A29" t="s">
        <v>95</v>
      </c>
      <c r="B29" s="78"/>
      <c r="C29" s="78">
        <v>172561743.43283993</v>
      </c>
      <c r="D29" s="78">
        <v>172561743.43283993</v>
      </c>
      <c r="E29" s="2">
        <f t="shared" si="4"/>
        <v>1</v>
      </c>
      <c r="F29" s="78">
        <v>34542762.049999997</v>
      </c>
      <c r="G29" s="78">
        <v>801021820.20000005</v>
      </c>
      <c r="H29" s="78">
        <v>835564582.20000005</v>
      </c>
      <c r="I29" s="2">
        <f t="shared" si="5"/>
        <v>0.9586593750670348</v>
      </c>
      <c r="J29" s="91">
        <f t="shared" si="6"/>
        <v>0</v>
      </c>
      <c r="K29" s="91">
        <f t="shared" si="7"/>
        <v>472771.89981599979</v>
      </c>
      <c r="L29" s="77">
        <f t="shared" si="8"/>
        <v>472771.89981599979</v>
      </c>
      <c r="M29" s="77">
        <f t="shared" si="9"/>
        <v>94637.704246575333</v>
      </c>
      <c r="N29" s="77">
        <f t="shared" si="10"/>
        <v>2194580.3293150687</v>
      </c>
      <c r="O29" s="77">
        <f t="shared" si="11"/>
        <v>2289218.0335616441</v>
      </c>
      <c r="P29" s="18"/>
      <c r="T29" s="18"/>
      <c r="U29" s="18"/>
      <c r="V29" s="18"/>
      <c r="AE29" s="31"/>
      <c r="AF29" s="31"/>
      <c r="AG29" s="31"/>
      <c r="AH29" s="31"/>
      <c r="AI29" s="31"/>
      <c r="AJ29" s="31"/>
      <c r="AK29" s="31"/>
      <c r="AL29" s="31"/>
    </row>
    <row r="30" spans="1:38" x14ac:dyDescent="0.35">
      <c r="A30" t="s">
        <v>99</v>
      </c>
      <c r="B30" s="78">
        <v>47198658.045689993</v>
      </c>
      <c r="C30" s="78">
        <v>16510652854.467672</v>
      </c>
      <c r="D30" s="78">
        <v>16557851512.513363</v>
      </c>
      <c r="E30" s="2">
        <f t="shared" si="4"/>
        <v>0.9971494696633787</v>
      </c>
      <c r="F30" s="78">
        <v>4165799541</v>
      </c>
      <c r="G30" s="78">
        <v>28700025711</v>
      </c>
      <c r="H30" s="78">
        <v>32865825252</v>
      </c>
      <c r="I30" s="2">
        <f t="shared" si="5"/>
        <v>0.87324829031194051</v>
      </c>
      <c r="J30" s="91">
        <f t="shared" si="6"/>
        <v>129311.39190599998</v>
      </c>
      <c r="K30" s="91">
        <f t="shared" si="7"/>
        <v>45234665.354705952</v>
      </c>
      <c r="L30" s="77">
        <f t="shared" si="8"/>
        <v>45363976.746611953</v>
      </c>
      <c r="M30" s="77">
        <f t="shared" si="9"/>
        <v>11413149.42739726</v>
      </c>
      <c r="N30" s="77">
        <f t="shared" si="10"/>
        <v>78630207.427397266</v>
      </c>
      <c r="O30" s="77">
        <f t="shared" si="11"/>
        <v>90043356.854794532</v>
      </c>
      <c r="P30" s="18"/>
      <c r="T30" s="18"/>
      <c r="U30" s="18"/>
      <c r="V30" s="18"/>
      <c r="AE30" s="31"/>
      <c r="AF30" s="31"/>
      <c r="AG30" s="31"/>
      <c r="AH30" s="31"/>
      <c r="AI30" s="31"/>
      <c r="AJ30" s="31"/>
      <c r="AK30" s="31"/>
      <c r="AL30" s="31"/>
    </row>
    <row r="31" spans="1:38" x14ac:dyDescent="0.35">
      <c r="A31" t="s">
        <v>439</v>
      </c>
      <c r="B31" s="78">
        <f>SUM(B5:B30)</f>
        <v>20169103617.018578</v>
      </c>
      <c r="C31" s="78">
        <f>SUM(C5:C30)</f>
        <v>77762361752.866623</v>
      </c>
      <c r="D31" s="78">
        <f>SUM(D5:D30)</f>
        <v>97931465369.885193</v>
      </c>
      <c r="E31" s="4">
        <f t="shared" si="4"/>
        <v>0.79404879176636167</v>
      </c>
      <c r="F31" s="78">
        <f>SUM(F5:F30)</f>
        <v>68150176787.800003</v>
      </c>
      <c r="G31" s="78">
        <f>SUM(G5:G30)</f>
        <v>101819324778.7</v>
      </c>
      <c r="H31" s="78">
        <f>SUM(H5:H30)</f>
        <v>169969501564.89999</v>
      </c>
      <c r="I31" s="4">
        <f t="shared" si="5"/>
        <v>0.59904467472843648</v>
      </c>
      <c r="J31" s="78">
        <f t="shared" ref="J31:O31" si="12">SUM(J5:J30)</f>
        <v>55257818.128818013</v>
      </c>
      <c r="K31" s="78">
        <f t="shared" si="12"/>
        <v>213047566.44620997</v>
      </c>
      <c r="L31" s="78">
        <f t="shared" si="12"/>
        <v>268305384.575028</v>
      </c>
      <c r="M31" s="78">
        <f t="shared" si="12"/>
        <v>186712813.11726025</v>
      </c>
      <c r="N31" s="78">
        <f t="shared" si="12"/>
        <v>278957054.18821913</v>
      </c>
      <c r="O31" s="78">
        <f t="shared" si="12"/>
        <v>465669867.30547953</v>
      </c>
      <c r="P31" s="18"/>
      <c r="T31" s="18"/>
      <c r="U31" s="18"/>
      <c r="V31" s="18"/>
      <c r="AE31" s="31"/>
      <c r="AF31" s="31"/>
      <c r="AG31" s="31"/>
      <c r="AH31" s="31"/>
      <c r="AI31" s="31"/>
      <c r="AJ31" s="31"/>
      <c r="AK31" s="31"/>
      <c r="AL31" s="31"/>
    </row>
    <row r="32" spans="1:38" s="32" customFormat="1" x14ac:dyDescent="0.35">
      <c r="B32" s="35"/>
      <c r="C32" s="35"/>
      <c r="D32" s="35"/>
      <c r="E32" s="35"/>
      <c r="F32" s="35"/>
      <c r="G32" s="35"/>
      <c r="H32" s="35"/>
      <c r="I32" s="33"/>
      <c r="J32" s="35"/>
      <c r="K32" s="35"/>
      <c r="L32" s="35"/>
      <c r="M32" s="11"/>
      <c r="N32" s="11"/>
      <c r="O32" s="11"/>
      <c r="AE32" s="10"/>
      <c r="AF32" s="10"/>
      <c r="AG32" s="10"/>
      <c r="AH32" s="10"/>
      <c r="AI32" s="10"/>
      <c r="AJ32" s="10"/>
      <c r="AK32" s="10"/>
      <c r="AL32" s="10"/>
    </row>
    <row r="33" spans="1:16" s="5" customFormat="1" x14ac:dyDescent="0.35">
      <c r="A33" s="674" t="s">
        <v>128</v>
      </c>
      <c r="B33" s="675" t="s">
        <v>517</v>
      </c>
      <c r="C33" s="675"/>
      <c r="D33" s="675"/>
      <c r="E33" s="158"/>
      <c r="F33" s="158"/>
      <c r="G33" s="158"/>
      <c r="H33" s="158"/>
      <c r="I33" s="158"/>
      <c r="J33" s="7"/>
      <c r="K33" s="158"/>
      <c r="L33" s="158"/>
      <c r="M33" s="158"/>
      <c r="N33" s="8"/>
      <c r="O33" s="8"/>
      <c r="P33" s="8"/>
    </row>
    <row r="34" spans="1:16" s="5" customFormat="1" x14ac:dyDescent="0.35">
      <c r="A34" s="674"/>
      <c r="B34" s="6" t="s">
        <v>194</v>
      </c>
      <c r="C34" s="6" t="s">
        <v>127</v>
      </c>
      <c r="D34" s="6" t="s">
        <v>441</v>
      </c>
      <c r="E34" s="158"/>
      <c r="F34" s="158"/>
      <c r="G34" s="158"/>
      <c r="H34" s="158"/>
      <c r="I34" s="158"/>
      <c r="J34" s="7"/>
      <c r="K34" s="158"/>
      <c r="L34" s="158"/>
      <c r="M34" s="158"/>
      <c r="N34" s="8"/>
      <c r="O34" s="8"/>
      <c r="P34" s="8"/>
    </row>
    <row r="35" spans="1:16" x14ac:dyDescent="0.35">
      <c r="A35" t="s">
        <v>71</v>
      </c>
      <c r="B35" s="13">
        <v>90.719030000000004</v>
      </c>
      <c r="C35" s="13">
        <v>194.41390050000001</v>
      </c>
      <c r="D35" s="16">
        <f>C35/B35</f>
        <v>2.1430332808893571</v>
      </c>
      <c r="I35" s="19"/>
      <c r="J35" s="2"/>
      <c r="M35" s="19"/>
      <c r="P35" s="12"/>
    </row>
    <row r="36" spans="1:16" x14ac:dyDescent="0.35">
      <c r="A36" t="s">
        <v>72</v>
      </c>
      <c r="B36" s="13">
        <v>147.73835</v>
      </c>
      <c r="C36" s="13">
        <v>246.792157</v>
      </c>
      <c r="D36" s="16">
        <f t="shared" ref="D36:D60" si="13">C36/B36</f>
        <v>1.6704678033834817</v>
      </c>
      <c r="E36"/>
      <c r="F36"/>
      <c r="G36" s="20"/>
      <c r="H36"/>
      <c r="I36"/>
      <c r="J36" s="1"/>
      <c r="M36" s="19"/>
      <c r="P36" s="12"/>
    </row>
    <row r="37" spans="1:16" x14ac:dyDescent="0.35">
      <c r="A37" t="s">
        <v>73</v>
      </c>
      <c r="B37" s="13">
        <v>182.44764000000001</v>
      </c>
      <c r="C37" s="13">
        <v>396.63435609999999</v>
      </c>
      <c r="D37" s="16">
        <f t="shared" si="13"/>
        <v>2.1739626563544476</v>
      </c>
      <c r="E37"/>
      <c r="F37"/>
      <c r="G37" s="20"/>
      <c r="H37"/>
      <c r="I37"/>
      <c r="J37" s="1"/>
      <c r="M37" s="19"/>
      <c r="P37" s="12"/>
    </row>
    <row r="38" spans="1:16" x14ac:dyDescent="0.35">
      <c r="A38" t="s">
        <v>74</v>
      </c>
      <c r="B38" s="13">
        <v>98.935990000000004</v>
      </c>
      <c r="C38" s="13">
        <v>162.99013600000001</v>
      </c>
      <c r="D38" s="16">
        <f t="shared" si="13"/>
        <v>1.6474301818782022</v>
      </c>
      <c r="E38"/>
      <c r="F38"/>
      <c r="G38" s="20"/>
      <c r="H38"/>
      <c r="I38"/>
      <c r="J38" s="1"/>
      <c r="M38" s="19"/>
      <c r="P38" s="12"/>
    </row>
    <row r="39" spans="1:16" x14ac:dyDescent="0.35">
      <c r="A39" t="s">
        <v>75</v>
      </c>
      <c r="B39" s="13"/>
      <c r="C39" s="13"/>
      <c r="D39" s="16"/>
      <c r="E39"/>
      <c r="F39"/>
      <c r="G39" s="20"/>
      <c r="H39"/>
      <c r="I39"/>
      <c r="J39" s="1"/>
      <c r="M39" s="19"/>
      <c r="P39" s="12"/>
    </row>
    <row r="40" spans="1:16" x14ac:dyDescent="0.35">
      <c r="A40" t="s">
        <v>76</v>
      </c>
      <c r="B40" s="13"/>
      <c r="C40" s="13"/>
      <c r="D40" s="16"/>
      <c r="E40"/>
      <c r="F40"/>
      <c r="G40" s="20"/>
      <c r="H40"/>
      <c r="I40"/>
      <c r="J40" s="1"/>
      <c r="M40" s="19"/>
      <c r="P40" s="12"/>
    </row>
    <row r="41" spans="1:16" x14ac:dyDescent="0.35">
      <c r="A41" t="s">
        <v>77</v>
      </c>
      <c r="B41" s="13">
        <v>82.798310000000001</v>
      </c>
      <c r="C41" s="13">
        <v>96.369046969999999</v>
      </c>
      <c r="D41" s="16">
        <f t="shared" si="13"/>
        <v>1.1639011348178483</v>
      </c>
      <c r="E41"/>
      <c r="F41"/>
      <c r="G41" s="20"/>
      <c r="H41"/>
      <c r="I41"/>
      <c r="J41" s="1"/>
      <c r="M41" s="19"/>
      <c r="P41" s="12"/>
    </row>
    <row r="42" spans="1:16" x14ac:dyDescent="0.35">
      <c r="A42" t="s">
        <v>78</v>
      </c>
      <c r="B42" s="13">
        <v>1709.2446199999999</v>
      </c>
      <c r="C42" s="13">
        <v>6312.0990940000002</v>
      </c>
      <c r="D42" s="16">
        <f t="shared" si="13"/>
        <v>3.6929173391225887</v>
      </c>
      <c r="E42"/>
      <c r="F42"/>
      <c r="G42" s="20"/>
      <c r="H42"/>
      <c r="I42"/>
      <c r="J42" s="1"/>
      <c r="M42" s="19"/>
      <c r="P42" s="12"/>
    </row>
    <row r="43" spans="1:16" x14ac:dyDescent="0.35">
      <c r="A43" t="s">
        <v>79</v>
      </c>
      <c r="B43" s="13">
        <v>130.48013</v>
      </c>
      <c r="C43" s="13">
        <v>283.27542019999999</v>
      </c>
      <c r="D43" s="16">
        <f t="shared" si="13"/>
        <v>2.1710234362887282</v>
      </c>
      <c r="E43"/>
      <c r="F43"/>
      <c r="G43" s="20"/>
      <c r="H43"/>
      <c r="I43"/>
      <c r="J43" s="1"/>
      <c r="M43" s="19"/>
      <c r="P43" s="12"/>
    </row>
    <row r="44" spans="1:16" x14ac:dyDescent="0.35">
      <c r="A44" t="s">
        <v>80</v>
      </c>
      <c r="B44" s="13"/>
      <c r="C44" s="13"/>
      <c r="D44" s="16"/>
      <c r="E44"/>
      <c r="F44"/>
      <c r="G44" s="20"/>
      <c r="H44"/>
      <c r="I44"/>
      <c r="J44" s="1"/>
      <c r="M44" s="19"/>
      <c r="P44" s="12"/>
    </row>
    <row r="45" spans="1:16" x14ac:dyDescent="0.35">
      <c r="A45" t="s">
        <v>81</v>
      </c>
      <c r="B45" s="13"/>
      <c r="C45" s="13"/>
      <c r="D45" s="16"/>
      <c r="E45"/>
      <c r="F45"/>
      <c r="G45" s="20"/>
      <c r="H45"/>
      <c r="I45"/>
      <c r="J45" s="1"/>
      <c r="M45" s="19"/>
      <c r="P45" s="12"/>
    </row>
    <row r="46" spans="1:16" x14ac:dyDescent="0.35">
      <c r="A46" t="s">
        <v>82</v>
      </c>
      <c r="B46" s="13">
        <v>653.06673999999998</v>
      </c>
      <c r="C46" s="13">
        <v>2192.1861479999998</v>
      </c>
      <c r="D46" s="16">
        <f t="shared" si="13"/>
        <v>3.3567566892167866</v>
      </c>
      <c r="E46"/>
      <c r="F46"/>
      <c r="G46" s="20"/>
      <c r="H46"/>
      <c r="I46"/>
      <c r="J46" s="1"/>
      <c r="M46" s="19"/>
      <c r="P46" s="12"/>
    </row>
    <row r="47" spans="1:16" x14ac:dyDescent="0.35">
      <c r="A47" t="s">
        <v>83</v>
      </c>
      <c r="B47" s="13">
        <v>73.755759999999995</v>
      </c>
      <c r="C47" s="13">
        <v>120.2868747</v>
      </c>
      <c r="D47" s="16">
        <f t="shared" si="13"/>
        <v>1.6308810959306772</v>
      </c>
      <c r="E47"/>
      <c r="F47"/>
      <c r="G47" s="20"/>
      <c r="H47"/>
      <c r="I47"/>
      <c r="J47" s="1"/>
      <c r="M47" s="19"/>
      <c r="P47" s="12"/>
    </row>
    <row r="48" spans="1:16" x14ac:dyDescent="0.35">
      <c r="A48" t="s">
        <v>84</v>
      </c>
      <c r="B48" s="13">
        <v>77.447460000000007</v>
      </c>
      <c r="C48" s="13">
        <v>105.63470460000001</v>
      </c>
      <c r="D48" s="16">
        <f t="shared" si="13"/>
        <v>1.3639531186690952</v>
      </c>
      <c r="E48"/>
      <c r="F48"/>
      <c r="G48" s="20"/>
      <c r="H48"/>
      <c r="I48"/>
      <c r="J48" s="1"/>
      <c r="M48" s="19"/>
      <c r="P48" s="12"/>
    </row>
    <row r="49" spans="1:16" x14ac:dyDescent="0.35">
      <c r="A49" t="s">
        <v>85</v>
      </c>
      <c r="B49" s="13">
        <v>112.59275</v>
      </c>
      <c r="C49" s="13">
        <v>121.6299921</v>
      </c>
      <c r="D49" s="16">
        <f t="shared" si="13"/>
        <v>1.0802648669652353</v>
      </c>
      <c r="E49"/>
      <c r="F49"/>
      <c r="G49" s="20"/>
      <c r="H49"/>
      <c r="I49"/>
      <c r="J49" s="1"/>
      <c r="M49" s="19"/>
      <c r="P49" s="12"/>
    </row>
    <row r="50" spans="1:16" x14ac:dyDescent="0.35">
      <c r="A50" t="s">
        <v>86</v>
      </c>
      <c r="B50" s="13">
        <v>44.15934</v>
      </c>
      <c r="C50" s="13">
        <v>53.363113650000003</v>
      </c>
      <c r="D50" s="16">
        <f t="shared" si="13"/>
        <v>1.2084219023653886</v>
      </c>
      <c r="E50"/>
      <c r="F50"/>
      <c r="G50" s="20"/>
      <c r="H50"/>
      <c r="I50"/>
      <c r="J50" s="1"/>
      <c r="M50" s="19"/>
      <c r="P50" s="12"/>
    </row>
    <row r="51" spans="1:16" x14ac:dyDescent="0.35">
      <c r="A51" t="s">
        <v>87</v>
      </c>
      <c r="B51" s="13">
        <v>156.53781000000001</v>
      </c>
      <c r="C51" s="13">
        <v>207.46307970000001</v>
      </c>
      <c r="D51" s="16">
        <f t="shared" si="13"/>
        <v>1.3253224872636202</v>
      </c>
      <c r="E51"/>
      <c r="F51"/>
      <c r="G51" s="20"/>
      <c r="H51"/>
      <c r="I51"/>
      <c r="J51" s="1"/>
      <c r="M51" s="19"/>
      <c r="P51" s="12"/>
    </row>
    <row r="52" spans="1:16" x14ac:dyDescent="0.35">
      <c r="A52" t="s">
        <v>88</v>
      </c>
      <c r="B52" s="13"/>
      <c r="C52" s="13"/>
      <c r="D52" s="16"/>
      <c r="E52"/>
      <c r="F52"/>
      <c r="G52" s="20"/>
      <c r="H52"/>
      <c r="I52"/>
      <c r="J52" s="1"/>
      <c r="M52" s="19"/>
      <c r="P52" s="12"/>
    </row>
    <row r="53" spans="1:16" x14ac:dyDescent="0.35">
      <c r="A53" t="s">
        <v>233</v>
      </c>
      <c r="B53" s="13">
        <v>537.31413999999995</v>
      </c>
      <c r="C53" s="13">
        <v>1109.6321660000001</v>
      </c>
      <c r="D53" s="16">
        <f t="shared" si="13"/>
        <v>2.065146035427246</v>
      </c>
      <c r="E53"/>
      <c r="F53"/>
      <c r="G53" s="20"/>
      <c r="H53"/>
      <c r="I53"/>
      <c r="J53" s="1"/>
      <c r="M53" s="19"/>
      <c r="P53" s="12"/>
    </row>
    <row r="54" spans="1:16" x14ac:dyDescent="0.35">
      <c r="A54" t="s">
        <v>90</v>
      </c>
      <c r="B54" s="13"/>
      <c r="C54" s="13"/>
      <c r="D54" s="16"/>
      <c r="E54"/>
      <c r="F54"/>
      <c r="G54" s="20"/>
      <c r="H54"/>
      <c r="I54"/>
      <c r="J54" s="1"/>
      <c r="M54" s="19"/>
      <c r="P54" s="12"/>
    </row>
    <row r="55" spans="1:16" x14ac:dyDescent="0.35">
      <c r="A55" t="s">
        <v>91</v>
      </c>
      <c r="B55" s="13">
        <v>91.649590000000003</v>
      </c>
      <c r="C55" s="13">
        <v>98.480971139999994</v>
      </c>
      <c r="D55" s="16">
        <f t="shared" si="13"/>
        <v>1.0745380436508225</v>
      </c>
      <c r="E55"/>
      <c r="F55"/>
      <c r="G55" s="20"/>
      <c r="H55"/>
      <c r="I55"/>
      <c r="J55" s="1"/>
      <c r="M55" s="19"/>
      <c r="P55" s="12"/>
    </row>
    <row r="56" spans="1:16" x14ac:dyDescent="0.35">
      <c r="A56" t="s">
        <v>92</v>
      </c>
      <c r="B56" s="13">
        <v>71.000209999999996</v>
      </c>
      <c r="C56" s="13">
        <v>79.381143050000006</v>
      </c>
      <c r="D56" s="16">
        <f t="shared" si="13"/>
        <v>1.1180409614281424</v>
      </c>
      <c r="E56"/>
      <c r="F56"/>
      <c r="G56" s="20"/>
      <c r="H56"/>
      <c r="I56"/>
      <c r="J56" s="1"/>
      <c r="M56" s="19"/>
      <c r="P56" s="12"/>
    </row>
    <row r="57" spans="1:16" x14ac:dyDescent="0.35">
      <c r="A57" t="s">
        <v>93</v>
      </c>
      <c r="B57" s="13"/>
      <c r="C57" s="13"/>
      <c r="D57" s="16"/>
      <c r="E57"/>
      <c r="F57"/>
      <c r="G57" s="20"/>
      <c r="H57"/>
      <c r="I57"/>
      <c r="J57" s="1"/>
      <c r="M57" s="19"/>
      <c r="P57" s="12"/>
    </row>
    <row r="58" spans="1:16" x14ac:dyDescent="0.35">
      <c r="A58" t="s">
        <v>94</v>
      </c>
      <c r="B58" s="13">
        <v>84.064340000000001</v>
      </c>
      <c r="C58" s="13">
        <v>115.1218946</v>
      </c>
      <c r="D58" s="16">
        <f t="shared" si="13"/>
        <v>1.3694498118940801</v>
      </c>
      <c r="E58"/>
      <c r="F58"/>
      <c r="G58" s="20"/>
      <c r="H58"/>
      <c r="I58"/>
      <c r="J58" s="1"/>
      <c r="M58" s="19"/>
      <c r="P58" s="12"/>
    </row>
    <row r="59" spans="1:16" x14ac:dyDescent="0.35">
      <c r="A59" t="s">
        <v>95</v>
      </c>
      <c r="B59" s="13">
        <v>27.66</v>
      </c>
      <c r="C59" s="13">
        <v>34.079390590000003</v>
      </c>
      <c r="D59" s="16">
        <f t="shared" si="13"/>
        <v>1.2320820892986262</v>
      </c>
      <c r="E59"/>
      <c r="F59"/>
      <c r="G59" s="20"/>
      <c r="H59"/>
      <c r="I59"/>
      <c r="J59" s="1"/>
      <c r="M59" s="19"/>
      <c r="P59" s="12"/>
    </row>
    <row r="60" spans="1:16" x14ac:dyDescent="0.35">
      <c r="A60" t="s">
        <v>99</v>
      </c>
      <c r="B60" s="13">
        <v>3109.1514400000001</v>
      </c>
      <c r="C60" s="13">
        <v>3783.4197290000002</v>
      </c>
      <c r="D60" s="16">
        <f t="shared" si="13"/>
        <v>1.2168656953551289</v>
      </c>
      <c r="E60"/>
      <c r="F60"/>
      <c r="G60" s="20"/>
      <c r="H60"/>
      <c r="I60"/>
      <c r="J60" s="1"/>
      <c r="M60" s="19"/>
      <c r="P60" s="12"/>
    </row>
    <row r="61" spans="1:16" s="32" customFormat="1" x14ac:dyDescent="0.35">
      <c r="B61" s="29"/>
      <c r="C61" s="29"/>
      <c r="F61" s="36"/>
      <c r="I61" s="37"/>
      <c r="J61" s="35"/>
      <c r="K61" s="35"/>
      <c r="L61" s="35"/>
      <c r="M61" s="11"/>
      <c r="N61" s="11"/>
      <c r="O61" s="11"/>
    </row>
    <row r="62" spans="1:16" x14ac:dyDescent="0.35">
      <c r="B62"/>
      <c r="C62"/>
      <c r="D62"/>
      <c r="E62"/>
      <c r="J62" s="21"/>
    </row>
    <row r="63" spans="1:16" x14ac:dyDescent="0.35">
      <c r="B63"/>
      <c r="C63"/>
      <c r="D63"/>
      <c r="E63"/>
      <c r="J63" s="21"/>
    </row>
    <row r="64" spans="1:16" x14ac:dyDescent="0.35">
      <c r="B64"/>
      <c r="C64"/>
      <c r="D64"/>
      <c r="E64"/>
      <c r="J64" s="21"/>
    </row>
    <row r="65" spans="2:10" x14ac:dyDescent="0.35">
      <c r="B65"/>
      <c r="C65"/>
      <c r="D65"/>
      <c r="E65"/>
      <c r="J65" s="21"/>
    </row>
    <row r="66" spans="2:10" x14ac:dyDescent="0.35">
      <c r="B66"/>
      <c r="C66"/>
      <c r="D66"/>
      <c r="E66"/>
      <c r="J66" s="21"/>
    </row>
    <row r="67" spans="2:10" x14ac:dyDescent="0.35">
      <c r="B67"/>
      <c r="C67"/>
      <c r="D67"/>
      <c r="E67"/>
      <c r="J67" s="21"/>
    </row>
    <row r="68" spans="2:10" x14ac:dyDescent="0.35">
      <c r="B68"/>
      <c r="C68"/>
      <c r="D68"/>
      <c r="E68"/>
      <c r="J68" s="21"/>
    </row>
    <row r="69" spans="2:10" x14ac:dyDescent="0.35">
      <c r="B69"/>
      <c r="C69"/>
      <c r="D69"/>
      <c r="E69"/>
    </row>
    <row r="70" spans="2:10" x14ac:dyDescent="0.35">
      <c r="B70"/>
      <c r="C70"/>
      <c r="D70"/>
      <c r="E70"/>
    </row>
    <row r="71" spans="2:10" x14ac:dyDescent="0.35">
      <c r="B71"/>
      <c r="C71"/>
      <c r="D71"/>
      <c r="E71"/>
    </row>
    <row r="72" spans="2:10" x14ac:dyDescent="0.35">
      <c r="B72"/>
      <c r="C72"/>
      <c r="D72"/>
      <c r="E72"/>
    </row>
    <row r="73" spans="2:10" x14ac:dyDescent="0.35">
      <c r="B73"/>
      <c r="C73"/>
      <c r="D73"/>
      <c r="E73"/>
    </row>
    <row r="74" spans="2:10" x14ac:dyDescent="0.35">
      <c r="B74"/>
      <c r="C74"/>
      <c r="D74"/>
      <c r="E74"/>
    </row>
    <row r="75" spans="2:10" x14ac:dyDescent="0.35">
      <c r="B75"/>
      <c r="C75"/>
      <c r="D75"/>
      <c r="E75"/>
    </row>
  </sheetData>
  <mergeCells count="10">
    <mergeCell ref="B33:D33"/>
    <mergeCell ref="A33:A34"/>
    <mergeCell ref="Q2:S2"/>
    <mergeCell ref="T2:V2"/>
    <mergeCell ref="B3:E3"/>
    <mergeCell ref="F3:I3"/>
    <mergeCell ref="J3:L3"/>
    <mergeCell ref="M3:O3"/>
    <mergeCell ref="J2:O2"/>
    <mergeCell ref="B2:I2"/>
  </mergeCells>
  <pageMargins left="0.7" right="0.7" top="0.75" bottom="0.75" header="0.3" footer="0.3"/>
  <ignoredErrors>
    <ignoredError sqref="E31 I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Y48"/>
  <sheetViews>
    <sheetView tabSelected="1" topLeftCell="A10" zoomScale="90" zoomScaleNormal="90" workbookViewId="0">
      <selection activeCell="R42" sqref="R42"/>
    </sheetView>
  </sheetViews>
  <sheetFormatPr defaultColWidth="9.26953125" defaultRowHeight="10.5" x14ac:dyDescent="0.35"/>
  <cols>
    <col min="1" max="1" width="20" style="227" customWidth="1"/>
    <col min="2" max="20" width="9" style="209" customWidth="1"/>
    <col min="21" max="16384" width="9.26953125" style="112"/>
  </cols>
  <sheetData>
    <row r="1" spans="1:25" s="113" customFormat="1" ht="16.399999999999999" customHeight="1" x14ac:dyDescent="0.35">
      <c r="A1" s="471"/>
      <c r="B1" s="211"/>
      <c r="C1" s="211"/>
      <c r="D1" s="211"/>
      <c r="E1" s="454"/>
      <c r="F1" s="211"/>
      <c r="G1" s="211"/>
      <c r="H1" s="211"/>
      <c r="I1" s="211"/>
      <c r="J1" s="454"/>
      <c r="K1" s="454"/>
      <c r="L1" s="211"/>
      <c r="M1" s="211"/>
      <c r="N1" s="211"/>
      <c r="O1" s="211"/>
      <c r="P1" s="211"/>
      <c r="Q1" s="211"/>
      <c r="R1" s="454"/>
      <c r="S1" s="454"/>
      <c r="T1" s="211"/>
      <c r="Y1" s="572"/>
    </row>
    <row r="2" spans="1:25" s="113" customFormat="1" ht="5.25" customHeight="1" x14ac:dyDescent="0.35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5" s="113" customFormat="1" ht="6" customHeight="1" x14ac:dyDescent="0.35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1:25" s="113" customFormat="1" ht="6" customHeight="1" x14ac:dyDescent="0.35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</row>
    <row r="5" spans="1:25" s="113" customFormat="1" ht="6" customHeight="1" x14ac:dyDescent="0.35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spans="1:25" s="113" customFormat="1" ht="6" customHeight="1" x14ac:dyDescent="0.3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5" s="113" customFormat="1" ht="6" customHeight="1" x14ac:dyDescent="0.3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</row>
    <row r="8" spans="1:25" s="113" customFormat="1" ht="5.25" customHeight="1" x14ac:dyDescent="0.35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</row>
    <row r="9" spans="1:25" s="113" customFormat="1" ht="5.25" customHeight="1" x14ac:dyDescent="0.35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</row>
    <row r="10" spans="1:25" s="113" customFormat="1" ht="15" customHeight="1" thickBot="1" x14ac:dyDescent="0.4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</row>
    <row r="11" spans="1:25" s="113" customFormat="1" ht="13.5" customHeight="1" x14ac:dyDescent="0.35">
      <c r="A11" s="210"/>
      <c r="B11" s="641" t="s">
        <v>63</v>
      </c>
      <c r="C11" s="642"/>
      <c r="D11" s="642"/>
      <c r="E11" s="643"/>
      <c r="F11" s="211"/>
      <c r="G11" s="644" t="s">
        <v>64</v>
      </c>
      <c r="H11" s="645"/>
      <c r="I11" s="645"/>
      <c r="J11" s="646"/>
      <c r="K11" s="212"/>
      <c r="L11" s="647" t="s">
        <v>65</v>
      </c>
      <c r="M11" s="648"/>
      <c r="N11" s="648"/>
      <c r="O11" s="649"/>
      <c r="P11" s="476"/>
      <c r="Q11" s="647" t="s">
        <v>66</v>
      </c>
      <c r="R11" s="648"/>
      <c r="S11" s="648"/>
      <c r="T11" s="649"/>
    </row>
    <row r="12" spans="1:25" s="113" customFormat="1" ht="40.15" customHeight="1" thickBot="1" x14ac:dyDescent="0.4">
      <c r="A12" s="210"/>
      <c r="B12" s="213" t="s">
        <v>67</v>
      </c>
      <c r="C12" s="214" t="s">
        <v>68</v>
      </c>
      <c r="D12" s="214" t="s">
        <v>69</v>
      </c>
      <c r="E12" s="215" t="s">
        <v>70</v>
      </c>
      <c r="F12" s="216"/>
      <c r="G12" s="213" t="s">
        <v>67</v>
      </c>
      <c r="H12" s="214" t="s">
        <v>68</v>
      </c>
      <c r="I12" s="214" t="s">
        <v>69</v>
      </c>
      <c r="J12" s="215" t="s">
        <v>70</v>
      </c>
      <c r="K12" s="453"/>
      <c r="L12" s="213" t="s">
        <v>67</v>
      </c>
      <c r="M12" s="214" t="s">
        <v>68</v>
      </c>
      <c r="N12" s="214" t="s">
        <v>69</v>
      </c>
      <c r="O12" s="215" t="s">
        <v>70</v>
      </c>
      <c r="P12" s="453"/>
      <c r="Q12" s="213" t="s">
        <v>67</v>
      </c>
      <c r="R12" s="214" t="s">
        <v>68</v>
      </c>
      <c r="S12" s="214" t="s">
        <v>69</v>
      </c>
      <c r="T12" s="215" t="s">
        <v>70</v>
      </c>
    </row>
    <row r="13" spans="1:25" s="113" customFormat="1" ht="3" customHeight="1" x14ac:dyDescent="0.35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</row>
    <row r="14" spans="1:25" s="113" customFormat="1" ht="13" x14ac:dyDescent="0.3">
      <c r="A14" s="221" t="s">
        <v>71</v>
      </c>
      <c r="B14" s="217">
        <f>'LOTTR Interstate'!S4</f>
        <v>0.97</v>
      </c>
      <c r="C14" s="217">
        <f>'LOTTR Non-Interstate'!S4</f>
        <v>0.87</v>
      </c>
      <c r="D14" s="222">
        <f>TTTR!S4</f>
        <v>1.25</v>
      </c>
      <c r="E14" s="223"/>
      <c r="F14" s="211"/>
      <c r="G14" s="217">
        <f>'LOTTR Interstate'!T4</f>
        <v>0.97</v>
      </c>
      <c r="H14" s="217">
        <f>'LOTTR Non-Interstate'!T4</f>
        <v>0.82</v>
      </c>
      <c r="I14" s="222">
        <f>TTTR!T4</f>
        <v>1.3</v>
      </c>
      <c r="J14" s="223"/>
      <c r="K14" s="211"/>
      <c r="L14" s="217">
        <f>'LOTTR Interstate'!W4</f>
        <v>0.97</v>
      </c>
      <c r="M14" s="217">
        <f>'LOTTR Non-Interstate'!W4</f>
        <v>0.82</v>
      </c>
      <c r="N14" s="222">
        <f>TTTR!W4</f>
        <v>1.3</v>
      </c>
      <c r="O14" s="223"/>
      <c r="P14" s="211"/>
      <c r="Q14" s="217">
        <f>'LOTTR Interstate'!X4</f>
        <v>0.97</v>
      </c>
      <c r="R14" s="217">
        <f>'LOTTR Non-Interstate'!X4</f>
        <v>0.82</v>
      </c>
      <c r="S14" s="222">
        <f>TTTR!X4</f>
        <v>1.33</v>
      </c>
      <c r="T14" s="223"/>
    </row>
    <row r="15" spans="1:25" s="113" customFormat="1" ht="13" x14ac:dyDescent="0.3">
      <c r="A15" s="224" t="s">
        <v>72</v>
      </c>
      <c r="B15" s="217">
        <f>'LOTTR Interstate'!S5</f>
        <v>0.97</v>
      </c>
      <c r="C15" s="217">
        <f>'LOTTR Non-Interstate'!S5</f>
        <v>0.9</v>
      </c>
      <c r="D15" s="222">
        <f>TTTR!S5</f>
        <v>1.35</v>
      </c>
      <c r="E15" s="223"/>
      <c r="F15" s="211"/>
      <c r="G15" s="217">
        <f>'LOTTR Interstate'!T5</f>
        <v>0.97</v>
      </c>
      <c r="H15" s="217">
        <f>'LOTTR Non-Interstate'!T5</f>
        <v>0.85</v>
      </c>
      <c r="I15" s="222">
        <f>TTTR!T5</f>
        <v>1.4</v>
      </c>
      <c r="J15" s="223"/>
      <c r="K15" s="211"/>
      <c r="L15" s="217">
        <f>'LOTTR Interstate'!W5</f>
        <v>0.97</v>
      </c>
      <c r="M15" s="217">
        <f>'LOTTR Non-Interstate'!W5</f>
        <v>0.85</v>
      </c>
      <c r="N15" s="222">
        <f>TTTR!W5</f>
        <v>1.4</v>
      </c>
      <c r="O15" s="223"/>
      <c r="P15" s="211"/>
      <c r="Q15" s="217">
        <f>'LOTTR Interstate'!X5</f>
        <v>0.97</v>
      </c>
      <c r="R15" s="217">
        <f>'LOTTR Non-Interstate'!X5</f>
        <v>0.85</v>
      </c>
      <c r="S15" s="222">
        <f>TTTR!X5</f>
        <v>1.43</v>
      </c>
      <c r="T15" s="223"/>
    </row>
    <row r="16" spans="1:25" s="113" customFormat="1" ht="13" x14ac:dyDescent="0.3">
      <c r="A16" s="224" t="s">
        <v>73</v>
      </c>
      <c r="B16" s="217">
        <f>'LOTTR Interstate'!S6</f>
        <v>0.65</v>
      </c>
      <c r="C16" s="217">
        <f>'LOTTR Non-Interstate'!S6</f>
        <v>0.7</v>
      </c>
      <c r="D16" s="222">
        <f>TTTR!S6</f>
        <v>2.1</v>
      </c>
      <c r="E16" s="218"/>
      <c r="F16" s="211"/>
      <c r="G16" s="217">
        <f>'LOTTR Interstate'!T6</f>
        <v>0.6</v>
      </c>
      <c r="H16" s="217">
        <f>'LOTTR Non-Interstate'!T6</f>
        <v>0.6</v>
      </c>
      <c r="I16" s="222">
        <f>TTTR!T6</f>
        <v>2.2000000000000002</v>
      </c>
      <c r="J16" s="218"/>
      <c r="K16" s="454"/>
      <c r="L16" s="217">
        <f>'LOTTR Interstate'!W6</f>
        <v>0.6</v>
      </c>
      <c r="M16" s="217">
        <f>'LOTTR Non-Interstate'!W6</f>
        <v>0.6</v>
      </c>
      <c r="N16" s="222">
        <f>TTTR!W6</f>
        <v>2.2000000000000002</v>
      </c>
      <c r="O16" s="218"/>
      <c r="P16" s="454"/>
      <c r="Q16" s="217">
        <f>'LOTTR Interstate'!X6</f>
        <v>0.61</v>
      </c>
      <c r="R16" s="217">
        <f>'LOTTR Non-Interstate'!X6</f>
        <v>0.59</v>
      </c>
      <c r="S16" s="222">
        <f>TTTR!X6</f>
        <v>2.25</v>
      </c>
      <c r="T16" s="218"/>
    </row>
    <row r="17" spans="1:20" s="113" customFormat="1" ht="13" x14ac:dyDescent="0.3">
      <c r="A17" s="224" t="s">
        <v>74</v>
      </c>
      <c r="B17" s="217">
        <f>'LOTTR Interstate'!S7</f>
        <v>0.95</v>
      </c>
      <c r="C17" s="217">
        <f>'LOTTR Non-Interstate'!S7</f>
        <v>0.85</v>
      </c>
      <c r="D17" s="222">
        <f>TTTR!S7</f>
        <v>1.45</v>
      </c>
      <c r="E17" s="223"/>
      <c r="F17" s="211"/>
      <c r="G17" s="217">
        <f>'LOTTR Interstate'!T7</f>
        <v>0.92</v>
      </c>
      <c r="H17" s="217">
        <f>'LOTTR Non-Interstate'!T7</f>
        <v>0.8</v>
      </c>
      <c r="I17" s="222">
        <f>TTTR!T7</f>
        <v>1.5</v>
      </c>
      <c r="J17" s="223"/>
      <c r="K17" s="211"/>
      <c r="L17" s="217">
        <f>'LOTTR Interstate'!W7</f>
        <v>0.92</v>
      </c>
      <c r="M17" s="217">
        <f>'LOTTR Non-Interstate'!W7</f>
        <v>0.8</v>
      </c>
      <c r="N17" s="222">
        <f>TTTR!W7</f>
        <v>1.5</v>
      </c>
      <c r="O17" s="223"/>
      <c r="P17" s="211"/>
      <c r="Q17" s="217">
        <f>'LOTTR Interstate'!X7</f>
        <v>0.92</v>
      </c>
      <c r="R17" s="217">
        <f>'LOTTR Non-Interstate'!X7</f>
        <v>0.8</v>
      </c>
      <c r="S17" s="222">
        <f>TTTR!X7</f>
        <v>1.53</v>
      </c>
      <c r="T17" s="223"/>
    </row>
    <row r="18" spans="1:20" s="113" customFormat="1" ht="13" x14ac:dyDescent="0.3">
      <c r="A18" s="224" t="s">
        <v>75</v>
      </c>
      <c r="B18" s="217">
        <f>'LOTTR Interstate'!S8</f>
        <v>0.94</v>
      </c>
      <c r="C18" s="217">
        <f>'LOTTR Non-Interstate'!S8</f>
        <v>0.7</v>
      </c>
      <c r="D18" s="222">
        <f>TTTR!S8</f>
        <v>1.6</v>
      </c>
      <c r="E18" s="223"/>
      <c r="F18" s="211"/>
      <c r="G18" s="217">
        <f>'LOTTR Interstate'!T8</f>
        <v>0.94</v>
      </c>
      <c r="H18" s="217">
        <f>'LOTTR Non-Interstate'!T8</f>
        <v>0.62</v>
      </c>
      <c r="I18" s="222">
        <f>TTTR!T8</f>
        <v>1.7</v>
      </c>
      <c r="J18" s="223"/>
      <c r="K18" s="211"/>
      <c r="L18" s="217">
        <f>'LOTTR Interstate'!W8</f>
        <v>0.94</v>
      </c>
      <c r="M18" s="217">
        <f>'LOTTR Non-Interstate'!W8</f>
        <v>0.62</v>
      </c>
      <c r="N18" s="222">
        <f>TTTR!W8</f>
        <v>1.7</v>
      </c>
      <c r="O18" s="223"/>
      <c r="P18" s="211"/>
      <c r="Q18" s="217">
        <f>'LOTTR Interstate'!X8</f>
        <v>0.94</v>
      </c>
      <c r="R18" s="217">
        <f>'LOTTR Non-Interstate'!X8</f>
        <v>0.61</v>
      </c>
      <c r="S18" s="222">
        <f>TTTR!X8</f>
        <v>1.75</v>
      </c>
      <c r="T18" s="223"/>
    </row>
    <row r="19" spans="1:20" s="113" customFormat="1" ht="13" x14ac:dyDescent="0.3">
      <c r="A19" s="224" t="s">
        <v>76</v>
      </c>
      <c r="B19" s="217"/>
      <c r="C19" s="217">
        <f>'LOTTR Non-Interstate'!S9</f>
        <v>0.8</v>
      </c>
      <c r="D19" s="222"/>
      <c r="E19" s="223"/>
      <c r="F19" s="211"/>
      <c r="G19" s="217"/>
      <c r="H19" s="217">
        <f>'LOTTR Non-Interstate'!T9</f>
        <v>0.75</v>
      </c>
      <c r="I19" s="222"/>
      <c r="J19" s="223"/>
      <c r="K19" s="211"/>
      <c r="L19" s="217"/>
      <c r="M19" s="217">
        <f>'LOTTR Non-Interstate'!W9</f>
        <v>0.75</v>
      </c>
      <c r="N19" s="222"/>
      <c r="O19" s="223"/>
      <c r="P19" s="211"/>
      <c r="Q19" s="217"/>
      <c r="R19" s="217">
        <f>'LOTTR Non-Interstate'!X9</f>
        <v>0.75</v>
      </c>
      <c r="S19" s="222"/>
      <c r="T19" s="223"/>
    </row>
    <row r="20" spans="1:20" s="113" customFormat="1" ht="13" x14ac:dyDescent="0.3">
      <c r="A20" s="224" t="s">
        <v>77</v>
      </c>
      <c r="B20" s="217">
        <f>'LOTTR Interstate'!S10</f>
        <v>0.97</v>
      </c>
      <c r="C20" s="217">
        <f>'LOTTR Non-Interstate'!S10</f>
        <v>0.85</v>
      </c>
      <c r="D20" s="222">
        <f>TTTR!S10</f>
        <v>1.3</v>
      </c>
      <c r="E20" s="223"/>
      <c r="F20" s="211"/>
      <c r="G20" s="217">
        <f>'LOTTR Interstate'!T10</f>
        <v>0.97</v>
      </c>
      <c r="H20" s="217">
        <f>'LOTTR Non-Interstate'!T10</f>
        <v>0.8</v>
      </c>
      <c r="I20" s="222">
        <f>TTTR!T10</f>
        <v>1.35</v>
      </c>
      <c r="J20" s="223"/>
      <c r="K20" s="211"/>
      <c r="L20" s="217">
        <f>'LOTTR Interstate'!W10</f>
        <v>0.97</v>
      </c>
      <c r="M20" s="217">
        <f>'LOTTR Non-Interstate'!W10</f>
        <v>0.8</v>
      </c>
      <c r="N20" s="222">
        <f>TTTR!W10</f>
        <v>1.35</v>
      </c>
      <c r="O20" s="223"/>
      <c r="P20" s="211"/>
      <c r="Q20" s="217">
        <f>'LOTTR Interstate'!X10</f>
        <v>0.97</v>
      </c>
      <c r="R20" s="217">
        <f>'LOTTR Non-Interstate'!X10</f>
        <v>0.8</v>
      </c>
      <c r="S20" s="222">
        <f>TTTR!X10</f>
        <v>1.3800000000000001</v>
      </c>
      <c r="T20" s="223"/>
    </row>
    <row r="21" spans="1:20" s="113" customFormat="1" ht="13" x14ac:dyDescent="0.3">
      <c r="A21" s="224" t="s">
        <v>78</v>
      </c>
      <c r="B21" s="217">
        <f>'LOTTR Interstate'!S11</f>
        <v>0.65</v>
      </c>
      <c r="C21" s="217">
        <f>'LOTTR Non-Interstate'!S11</f>
        <v>0.65</v>
      </c>
      <c r="D21" s="222">
        <f>TTTR!S11</f>
        <v>2.4</v>
      </c>
      <c r="E21" s="218">
        <f>PHED!X11</f>
        <v>14</v>
      </c>
      <c r="F21" s="211"/>
      <c r="G21" s="217">
        <f>'LOTTR Interstate'!T11</f>
        <v>0.65</v>
      </c>
      <c r="H21" s="217">
        <f>'LOTTR Non-Interstate'!T11</f>
        <v>0.6</v>
      </c>
      <c r="I21" s="222">
        <f>TTTR!T11</f>
        <v>2.5</v>
      </c>
      <c r="J21" s="218">
        <f>PHED!Y11</f>
        <v>14</v>
      </c>
      <c r="K21" s="454"/>
      <c r="L21" s="217">
        <f>'LOTTR Interstate'!W11</f>
        <v>0.65</v>
      </c>
      <c r="M21" s="217">
        <f>'LOTTR Non-Interstate'!W11</f>
        <v>0.6</v>
      </c>
      <c r="N21" s="222">
        <f>TTTR!W11</f>
        <v>2.5</v>
      </c>
      <c r="O21" s="218">
        <f>PHED!Z11</f>
        <v>15</v>
      </c>
      <c r="P21" s="454"/>
      <c r="Q21" s="217">
        <f>'LOTTR Interstate'!X11</f>
        <v>0.64</v>
      </c>
      <c r="R21" s="217">
        <f>'LOTTR Non-Interstate'!X11</f>
        <v>0.59</v>
      </c>
      <c r="S21" s="222">
        <f>TTTR!X11</f>
        <v>2.6</v>
      </c>
      <c r="T21" s="218">
        <f>PHED!AA11</f>
        <v>15</v>
      </c>
    </row>
    <row r="22" spans="1:20" s="113" customFormat="1" ht="13" x14ac:dyDescent="0.3">
      <c r="A22" s="224" t="s">
        <v>79</v>
      </c>
      <c r="B22" s="217">
        <f>'LOTTR Interstate'!S12</f>
        <v>0.82</v>
      </c>
      <c r="C22" s="217">
        <f>'LOTTR Non-Interstate'!S12</f>
        <v>0.65</v>
      </c>
      <c r="D22" s="222">
        <f>TTTR!S12</f>
        <v>1.8</v>
      </c>
      <c r="E22" s="223"/>
      <c r="F22" s="211"/>
      <c r="G22" s="217">
        <f>'LOTTR Interstate'!T12</f>
        <v>0.82</v>
      </c>
      <c r="H22" s="217">
        <f>'LOTTR Non-Interstate'!T12</f>
        <v>0.6</v>
      </c>
      <c r="I22" s="222">
        <f>TTTR!T12</f>
        <v>2</v>
      </c>
      <c r="J22" s="223"/>
      <c r="K22" s="211"/>
      <c r="L22" s="217">
        <f>'LOTTR Interstate'!W12</f>
        <v>0.82</v>
      </c>
      <c r="M22" s="217">
        <f>'LOTTR Non-Interstate'!W12</f>
        <v>0.6</v>
      </c>
      <c r="N22" s="222">
        <f>TTTR!W12</f>
        <v>2</v>
      </c>
      <c r="O22" s="218">
        <f>PHED!Z14</f>
        <v>9</v>
      </c>
      <c r="P22" s="211"/>
      <c r="Q22" s="217">
        <f>'LOTTR Interstate'!X12</f>
        <v>0.80999999999999994</v>
      </c>
      <c r="R22" s="217">
        <f>'LOTTR Non-Interstate'!X12</f>
        <v>0.59</v>
      </c>
      <c r="S22" s="222">
        <f>TTTR!X12</f>
        <v>2.1</v>
      </c>
      <c r="T22" s="218">
        <f>PHED!AA14</f>
        <v>10</v>
      </c>
    </row>
    <row r="23" spans="1:20" s="113" customFormat="1" ht="13" x14ac:dyDescent="0.3">
      <c r="A23" s="224" t="s">
        <v>80</v>
      </c>
      <c r="B23" s="217">
        <f>'LOTTR Interstate'!S13</f>
        <v>0.97</v>
      </c>
      <c r="C23" s="217">
        <f>'LOTTR Non-Interstate'!S13</f>
        <v>0.6</v>
      </c>
      <c r="D23" s="222">
        <f>TTTR!S13</f>
        <v>1.4</v>
      </c>
      <c r="E23" s="223"/>
      <c r="F23" s="211"/>
      <c r="G23" s="217">
        <f>'LOTTR Interstate'!T13</f>
        <v>0.97</v>
      </c>
      <c r="H23" s="217">
        <f>'LOTTR Non-Interstate'!T13</f>
        <v>0.5</v>
      </c>
      <c r="I23" s="222">
        <f>TTTR!T13</f>
        <v>1.5</v>
      </c>
      <c r="J23" s="223"/>
      <c r="K23" s="211"/>
      <c r="L23" s="217">
        <f>'LOTTR Interstate'!W13</f>
        <v>0.97</v>
      </c>
      <c r="M23" s="217">
        <f>'LOTTR Non-Interstate'!W13</f>
        <v>0.5</v>
      </c>
      <c r="N23" s="222">
        <f>TTTR!W13</f>
        <v>1.5</v>
      </c>
      <c r="O23" s="223"/>
      <c r="P23" s="211"/>
      <c r="Q23" s="217">
        <f>'LOTTR Interstate'!X13</f>
        <v>0.97</v>
      </c>
      <c r="R23" s="217">
        <f>'LOTTR Non-Interstate'!X13</f>
        <v>0.49</v>
      </c>
      <c r="S23" s="222">
        <f>TTTR!X13</f>
        <v>1.55</v>
      </c>
      <c r="T23" s="223"/>
    </row>
    <row r="24" spans="1:20" s="113" customFormat="1" ht="13" x14ac:dyDescent="0.3">
      <c r="A24" s="224" t="s">
        <v>81</v>
      </c>
      <c r="B24" s="217">
        <f>'LOTTR Interstate'!S14</f>
        <v>0.85</v>
      </c>
      <c r="C24" s="217">
        <f>'LOTTR Non-Interstate'!S14</f>
        <v>0.75</v>
      </c>
      <c r="D24" s="222">
        <f>TTTR!S14</f>
        <v>1.8</v>
      </c>
      <c r="E24" s="223"/>
      <c r="F24" s="211"/>
      <c r="G24" s="217">
        <f>'LOTTR Interstate'!T14</f>
        <v>0.84</v>
      </c>
      <c r="H24" s="217">
        <f>'LOTTR Non-Interstate'!T14</f>
        <v>0.7</v>
      </c>
      <c r="I24" s="222">
        <f>TTTR!T14</f>
        <v>1.9</v>
      </c>
      <c r="J24" s="223"/>
      <c r="K24" s="211"/>
      <c r="L24" s="217">
        <f>'LOTTR Interstate'!W14</f>
        <v>0.84</v>
      </c>
      <c r="M24" s="217">
        <f>'LOTTR Non-Interstate'!W14</f>
        <v>0.7</v>
      </c>
      <c r="N24" s="222">
        <f>TTTR!W14</f>
        <v>1.9</v>
      </c>
      <c r="O24" s="223"/>
      <c r="P24" s="211"/>
      <c r="Q24" s="217">
        <f>'LOTTR Interstate'!X14</f>
        <v>0.84</v>
      </c>
      <c r="R24" s="217">
        <f>'LOTTR Non-Interstate'!X14</f>
        <v>0.69</v>
      </c>
      <c r="S24" s="222">
        <f>TTTR!X14</f>
        <v>1.95</v>
      </c>
      <c r="T24" s="223"/>
    </row>
    <row r="25" spans="1:20" s="113" customFormat="1" ht="13" x14ac:dyDescent="0.3">
      <c r="A25" s="224" t="s">
        <v>82</v>
      </c>
      <c r="B25" s="217">
        <f>'LOTTR Interstate'!S15</f>
        <v>0.6</v>
      </c>
      <c r="C25" s="217">
        <f>'LOTTR Non-Interstate'!S15</f>
        <v>0.7</v>
      </c>
      <c r="D25" s="222">
        <f>TTTR!S15</f>
        <v>2.5</v>
      </c>
      <c r="E25" s="218">
        <f>PHED!X12</f>
        <v>15</v>
      </c>
      <c r="F25" s="211"/>
      <c r="G25" s="217">
        <f>'LOTTR Interstate'!T15</f>
        <v>0.6</v>
      </c>
      <c r="H25" s="217">
        <f>'LOTTR Non-Interstate'!T15</f>
        <v>0.65</v>
      </c>
      <c r="I25" s="222">
        <f>TTTR!T15</f>
        <v>2.7</v>
      </c>
      <c r="J25" s="218">
        <f>PHED!Y12</f>
        <v>15</v>
      </c>
      <c r="K25" s="454"/>
      <c r="L25" s="217">
        <f>'LOTTR Interstate'!W15</f>
        <v>0.6</v>
      </c>
      <c r="M25" s="217">
        <f>'LOTTR Non-Interstate'!W15</f>
        <v>0.65</v>
      </c>
      <c r="N25" s="222">
        <f>TTTR!W15</f>
        <v>2.7</v>
      </c>
      <c r="O25" s="218">
        <f>PHED!Z12</f>
        <v>16</v>
      </c>
      <c r="P25" s="454"/>
      <c r="Q25" s="217">
        <f>'LOTTR Interstate'!X15</f>
        <v>0.59</v>
      </c>
      <c r="R25" s="217">
        <f>'LOTTR Non-Interstate'!X15</f>
        <v>0.64</v>
      </c>
      <c r="S25" s="222">
        <f>TTTR!X15</f>
        <v>2.8000000000000003</v>
      </c>
      <c r="T25" s="218">
        <f>PHED!AA12</f>
        <v>16</v>
      </c>
    </row>
    <row r="26" spans="1:20" s="113" customFormat="1" ht="13" x14ac:dyDescent="0.3">
      <c r="A26" s="224" t="s">
        <v>83</v>
      </c>
      <c r="B26" s="217">
        <f>'LOTTR Interstate'!S16</f>
        <v>0.97</v>
      </c>
      <c r="C26" s="217">
        <f>'LOTTR Non-Interstate'!S16</f>
        <v>0.8</v>
      </c>
      <c r="D26" s="222">
        <f>TTTR!S16</f>
        <v>1.6</v>
      </c>
      <c r="E26" s="223"/>
      <c r="F26" s="211"/>
      <c r="G26" s="217">
        <f>'LOTTR Interstate'!T16</f>
        <v>0.97</v>
      </c>
      <c r="H26" s="217">
        <f>'LOTTR Non-Interstate'!T16</f>
        <v>0.75</v>
      </c>
      <c r="I26" s="222">
        <f>TTTR!T16</f>
        <v>1.7</v>
      </c>
      <c r="J26" s="223"/>
      <c r="K26" s="211"/>
      <c r="L26" s="217">
        <f>'LOTTR Interstate'!W16</f>
        <v>0.97</v>
      </c>
      <c r="M26" s="217">
        <f>'LOTTR Non-Interstate'!W16</f>
        <v>0.75</v>
      </c>
      <c r="N26" s="222">
        <f>TTTR!W16</f>
        <v>1.7</v>
      </c>
      <c r="O26" s="223"/>
      <c r="P26" s="211"/>
      <c r="Q26" s="217">
        <f>'LOTTR Interstate'!X16</f>
        <v>0.97</v>
      </c>
      <c r="R26" s="217">
        <f>'LOTTR Non-Interstate'!X16</f>
        <v>0.75</v>
      </c>
      <c r="S26" s="222">
        <f>TTTR!X16</f>
        <v>1.75</v>
      </c>
      <c r="T26" s="223"/>
    </row>
    <row r="27" spans="1:20" s="113" customFormat="1" ht="13" x14ac:dyDescent="0.3">
      <c r="A27" s="224" t="s">
        <v>84</v>
      </c>
      <c r="B27" s="217">
        <f>'LOTTR Interstate'!S17</f>
        <v>0.9</v>
      </c>
      <c r="C27" s="217">
        <f>'LOTTR Non-Interstate'!S17</f>
        <v>0.8</v>
      </c>
      <c r="D27" s="222">
        <f>TTTR!S17</f>
        <v>1.6</v>
      </c>
      <c r="E27" s="223"/>
      <c r="F27" s="211"/>
      <c r="G27" s="217">
        <f>'LOTTR Interstate'!T17</f>
        <v>0.9</v>
      </c>
      <c r="H27" s="217">
        <f>'LOTTR Non-Interstate'!T17</f>
        <v>0.75</v>
      </c>
      <c r="I27" s="222">
        <f>TTTR!T17</f>
        <v>1.7</v>
      </c>
      <c r="J27" s="223"/>
      <c r="K27" s="211"/>
      <c r="L27" s="217">
        <f>'LOTTR Interstate'!W17</f>
        <v>0.9</v>
      </c>
      <c r="M27" s="217">
        <f>'LOTTR Non-Interstate'!W17</f>
        <v>0.75</v>
      </c>
      <c r="N27" s="222">
        <f>TTTR!W17</f>
        <v>1.7</v>
      </c>
      <c r="O27" s="223"/>
      <c r="P27" s="211"/>
      <c r="Q27" s="217">
        <f>'LOTTR Interstate'!X17</f>
        <v>0.9</v>
      </c>
      <c r="R27" s="217">
        <f>'LOTTR Non-Interstate'!X17</f>
        <v>0.75</v>
      </c>
      <c r="S27" s="222">
        <f>TTTR!X17</f>
        <v>1.75</v>
      </c>
      <c r="T27" s="223"/>
    </row>
    <row r="28" spans="1:20" s="113" customFormat="1" ht="13" x14ac:dyDescent="0.3">
      <c r="A28" s="224" t="s">
        <v>85</v>
      </c>
      <c r="B28" s="217">
        <f>'LOTTR Interstate'!S18</f>
        <v>0.97</v>
      </c>
      <c r="C28" s="217">
        <f>'LOTTR Non-Interstate'!S18</f>
        <v>0.85</v>
      </c>
      <c r="D28" s="222">
        <f>TTTR!S18</f>
        <v>1.25</v>
      </c>
      <c r="E28" s="223"/>
      <c r="F28" s="211"/>
      <c r="G28" s="217">
        <f>'LOTTR Interstate'!T18</f>
        <v>0.97</v>
      </c>
      <c r="H28" s="217">
        <f>'LOTTR Non-Interstate'!T18</f>
        <v>0.85</v>
      </c>
      <c r="I28" s="222">
        <f>TTTR!T18</f>
        <v>1.3</v>
      </c>
      <c r="J28" s="223"/>
      <c r="K28" s="211"/>
      <c r="L28" s="217">
        <f>'LOTTR Interstate'!W18</f>
        <v>0.97</v>
      </c>
      <c r="M28" s="217">
        <f>'LOTTR Non-Interstate'!W18</f>
        <v>0.85</v>
      </c>
      <c r="N28" s="222">
        <f>TTTR!W18</f>
        <v>1.3</v>
      </c>
      <c r="O28" s="223"/>
      <c r="P28" s="211"/>
      <c r="Q28" s="217">
        <f>'LOTTR Interstate'!X18</f>
        <v>0.97</v>
      </c>
      <c r="R28" s="217">
        <f>'LOTTR Non-Interstate'!X18</f>
        <v>0.85</v>
      </c>
      <c r="S28" s="222">
        <f>TTTR!X18</f>
        <v>1.33</v>
      </c>
      <c r="T28" s="223"/>
    </row>
    <row r="29" spans="1:20" s="113" customFormat="1" ht="13" x14ac:dyDescent="0.3">
      <c r="A29" s="224" t="s">
        <v>86</v>
      </c>
      <c r="B29" s="217">
        <f>'LOTTR Interstate'!S19</f>
        <v>0.97</v>
      </c>
      <c r="C29" s="217">
        <f>'LOTTR Non-Interstate'!S19</f>
        <v>0.75</v>
      </c>
      <c r="D29" s="222">
        <f>TTTR!S19</f>
        <v>1.35</v>
      </c>
      <c r="E29" s="223"/>
      <c r="F29" s="211"/>
      <c r="G29" s="217">
        <f>'LOTTR Interstate'!T19</f>
        <v>0.97</v>
      </c>
      <c r="H29" s="217">
        <f>'LOTTR Non-Interstate'!T19</f>
        <v>0.7</v>
      </c>
      <c r="I29" s="222">
        <f>TTTR!T19</f>
        <v>1.4</v>
      </c>
      <c r="J29" s="223"/>
      <c r="K29" s="211"/>
      <c r="L29" s="217">
        <f>'LOTTR Interstate'!W19</f>
        <v>0.97</v>
      </c>
      <c r="M29" s="217">
        <f>'LOTTR Non-Interstate'!W19</f>
        <v>0.7</v>
      </c>
      <c r="N29" s="222">
        <f>TTTR!W19</f>
        <v>1.4</v>
      </c>
      <c r="O29" s="223"/>
      <c r="P29" s="211"/>
      <c r="Q29" s="217">
        <f>'LOTTR Interstate'!X19</f>
        <v>0.97</v>
      </c>
      <c r="R29" s="217">
        <f>'LOTTR Non-Interstate'!X19</f>
        <v>0.7</v>
      </c>
      <c r="S29" s="222">
        <f>TTTR!X19</f>
        <v>1.43</v>
      </c>
      <c r="T29" s="223"/>
    </row>
    <row r="30" spans="1:20" s="113" customFormat="1" ht="13" x14ac:dyDescent="0.3">
      <c r="A30" s="224" t="s">
        <v>87</v>
      </c>
      <c r="B30" s="217">
        <f>'LOTTR Interstate'!S20</f>
        <v>0.85</v>
      </c>
      <c r="C30" s="217">
        <f>'LOTTR Non-Interstate'!S20</f>
        <v>0.9</v>
      </c>
      <c r="D30" s="222">
        <f>TTTR!S20</f>
        <v>1.7</v>
      </c>
      <c r="E30" s="223"/>
      <c r="F30" s="211"/>
      <c r="G30" s="217">
        <f>'LOTTR Interstate'!T20</f>
        <v>0.85</v>
      </c>
      <c r="H30" s="217">
        <f>'LOTTR Non-Interstate'!T20</f>
        <v>0.85</v>
      </c>
      <c r="I30" s="222">
        <f>TTTR!T20</f>
        <v>1.75</v>
      </c>
      <c r="J30" s="223"/>
      <c r="K30" s="211"/>
      <c r="L30" s="217">
        <f>'LOTTR Interstate'!W20</f>
        <v>0.85</v>
      </c>
      <c r="M30" s="217">
        <f>'LOTTR Non-Interstate'!W20</f>
        <v>0.85</v>
      </c>
      <c r="N30" s="222">
        <f>TTTR!W20</f>
        <v>1.75</v>
      </c>
      <c r="O30" s="223"/>
      <c r="P30" s="211"/>
      <c r="Q30" s="217">
        <f>'LOTTR Interstate'!X20</f>
        <v>0.85</v>
      </c>
      <c r="R30" s="217">
        <f>'LOTTR Non-Interstate'!X20</f>
        <v>0.85</v>
      </c>
      <c r="S30" s="222">
        <f>TTTR!X20</f>
        <v>1.78</v>
      </c>
      <c r="T30" s="223"/>
    </row>
    <row r="31" spans="1:20" s="113" customFormat="1" ht="13" x14ac:dyDescent="0.3">
      <c r="A31" s="224" t="s">
        <v>88</v>
      </c>
      <c r="B31" s="217"/>
      <c r="C31" s="217">
        <f>'LOTTR Non-Interstate'!S21</f>
        <v>0.9</v>
      </c>
      <c r="D31" s="222"/>
      <c r="E31" s="223"/>
      <c r="F31" s="211"/>
      <c r="G31" s="217"/>
      <c r="H31" s="217">
        <f>'LOTTR Non-Interstate'!T21</f>
        <v>0.9</v>
      </c>
      <c r="I31" s="222"/>
      <c r="J31" s="223"/>
      <c r="K31" s="211"/>
      <c r="L31" s="217"/>
      <c r="M31" s="217">
        <f>'LOTTR Non-Interstate'!W21</f>
        <v>0.9</v>
      </c>
      <c r="N31" s="222"/>
      <c r="O31" s="223"/>
      <c r="P31" s="211"/>
      <c r="Q31" s="217"/>
      <c r="R31" s="217">
        <f>'LOTTR Non-Interstate'!X21</f>
        <v>0.9</v>
      </c>
      <c r="S31" s="222"/>
      <c r="T31" s="223"/>
    </row>
    <row r="32" spans="1:20" s="113" customFormat="1" ht="13" x14ac:dyDescent="0.3">
      <c r="A32" s="224" t="s">
        <v>89</v>
      </c>
      <c r="B32" s="217">
        <f>'LOTTR Interstate'!S22</f>
        <v>0.7</v>
      </c>
      <c r="C32" s="217">
        <f>'LOTTR Non-Interstate'!S22</f>
        <v>0.65</v>
      </c>
      <c r="D32" s="222">
        <f>TTTR!S22</f>
        <v>2</v>
      </c>
      <c r="E32" s="218"/>
      <c r="F32" s="211"/>
      <c r="G32" s="217">
        <f>'LOTTR Interstate'!T22</f>
        <v>0.65</v>
      </c>
      <c r="H32" s="217">
        <f>'LOTTR Non-Interstate'!T22</f>
        <v>0.6</v>
      </c>
      <c r="I32" s="222">
        <f>TTTR!T22</f>
        <v>2.2000000000000002</v>
      </c>
      <c r="J32" s="218"/>
      <c r="K32" s="454"/>
      <c r="L32" s="217">
        <f>'LOTTR Interstate'!W22</f>
        <v>0.65</v>
      </c>
      <c r="M32" s="217">
        <f>'LOTTR Non-Interstate'!W22</f>
        <v>0.6</v>
      </c>
      <c r="N32" s="222">
        <f>TTTR!W22</f>
        <v>2.2000000000000002</v>
      </c>
      <c r="O32" s="218">
        <f>PHED!Z13</f>
        <v>14</v>
      </c>
      <c r="P32" s="454"/>
      <c r="Q32" s="217">
        <f>'LOTTR Interstate'!X22</f>
        <v>0.64</v>
      </c>
      <c r="R32" s="217">
        <f>'LOTTR Non-Interstate'!X22</f>
        <v>0.59</v>
      </c>
      <c r="S32" s="222">
        <f>TTTR!X22</f>
        <v>2.3000000000000003</v>
      </c>
      <c r="T32" s="218">
        <f>PHED!AA13</f>
        <v>15</v>
      </c>
    </row>
    <row r="33" spans="1:20" s="113" customFormat="1" ht="13" x14ac:dyDescent="0.3">
      <c r="A33" s="224" t="s">
        <v>90</v>
      </c>
      <c r="B33" s="217"/>
      <c r="C33" s="217">
        <f>'LOTTR Non-Interstate'!S23</f>
        <v>0.95</v>
      </c>
      <c r="D33" s="222"/>
      <c r="E33" s="223"/>
      <c r="F33" s="211"/>
      <c r="G33" s="217"/>
      <c r="H33" s="217">
        <f>'LOTTR Non-Interstate'!T23</f>
        <v>0.95</v>
      </c>
      <c r="I33" s="222"/>
      <c r="J33" s="223"/>
      <c r="K33" s="211"/>
      <c r="L33" s="217"/>
      <c r="M33" s="217">
        <f>'LOTTR Non-Interstate'!W23</f>
        <v>0.95</v>
      </c>
      <c r="N33" s="222"/>
      <c r="O33" s="223"/>
      <c r="P33" s="211"/>
      <c r="Q33" s="217"/>
      <c r="R33" s="217">
        <f>'LOTTR Non-Interstate'!X23</f>
        <v>0.95</v>
      </c>
      <c r="S33" s="222"/>
      <c r="T33" s="223"/>
    </row>
    <row r="34" spans="1:20" s="113" customFormat="1" ht="13" x14ac:dyDescent="0.3">
      <c r="A34" s="224" t="s">
        <v>91</v>
      </c>
      <c r="B34" s="217">
        <f>'LOTTR Interstate'!S24</f>
        <v>0.97</v>
      </c>
      <c r="C34" s="217">
        <f>'LOTTR Non-Interstate'!S24</f>
        <v>0.75</v>
      </c>
      <c r="D34" s="222">
        <f>TTTR!S24</f>
        <v>1.3</v>
      </c>
      <c r="E34" s="223"/>
      <c r="F34" s="211"/>
      <c r="G34" s="217">
        <f>'LOTTR Interstate'!T24</f>
        <v>0.97</v>
      </c>
      <c r="H34" s="217">
        <f>'LOTTR Non-Interstate'!T24</f>
        <v>0.7</v>
      </c>
      <c r="I34" s="222">
        <f>TTTR!T24</f>
        <v>1.35</v>
      </c>
      <c r="J34" s="223"/>
      <c r="K34" s="211"/>
      <c r="L34" s="217">
        <f>'LOTTR Interstate'!W24</f>
        <v>0.97</v>
      </c>
      <c r="M34" s="217">
        <f>'LOTTR Non-Interstate'!W24</f>
        <v>0.7</v>
      </c>
      <c r="N34" s="222">
        <f>TTTR!W24</f>
        <v>1.35</v>
      </c>
      <c r="O34" s="223"/>
      <c r="P34" s="211"/>
      <c r="Q34" s="217">
        <f>'LOTTR Interstate'!X24</f>
        <v>0.97</v>
      </c>
      <c r="R34" s="217">
        <f>'LOTTR Non-Interstate'!X24</f>
        <v>0.7</v>
      </c>
      <c r="S34" s="222">
        <f>TTTR!X24</f>
        <v>1.3800000000000001</v>
      </c>
      <c r="T34" s="223"/>
    </row>
    <row r="35" spans="1:20" s="113" customFormat="1" ht="13" x14ac:dyDescent="0.3">
      <c r="A35" s="224" t="s">
        <v>92</v>
      </c>
      <c r="B35" s="217">
        <f>'LOTTR Interstate'!S25</f>
        <v>0.97</v>
      </c>
      <c r="C35" s="217">
        <f>'LOTTR Non-Interstate'!S25</f>
        <v>0.85</v>
      </c>
      <c r="D35" s="222">
        <f>TTTR!S25</f>
        <v>1.3</v>
      </c>
      <c r="E35" s="223"/>
      <c r="F35" s="211"/>
      <c r="G35" s="217">
        <f>'LOTTR Interstate'!T25</f>
        <v>0.97</v>
      </c>
      <c r="H35" s="217">
        <f>'LOTTR Non-Interstate'!T25</f>
        <v>0.8</v>
      </c>
      <c r="I35" s="222">
        <f>TTTR!T25</f>
        <v>1.35</v>
      </c>
      <c r="J35" s="223"/>
      <c r="K35" s="211"/>
      <c r="L35" s="217">
        <f>'LOTTR Interstate'!W25</f>
        <v>0.97</v>
      </c>
      <c r="M35" s="217">
        <f>'LOTTR Non-Interstate'!W25</f>
        <v>0.8</v>
      </c>
      <c r="N35" s="222">
        <f>TTTR!W25</f>
        <v>1.35</v>
      </c>
      <c r="O35" s="223"/>
      <c r="P35" s="211"/>
      <c r="Q35" s="217">
        <f>'LOTTR Interstate'!X25</f>
        <v>0.97</v>
      </c>
      <c r="R35" s="217">
        <f>'LOTTR Non-Interstate'!X25</f>
        <v>0.8</v>
      </c>
      <c r="S35" s="222">
        <f>TTTR!X25</f>
        <v>1.3800000000000001</v>
      </c>
      <c r="T35" s="223"/>
    </row>
    <row r="36" spans="1:20" s="113" customFormat="1" ht="13" x14ac:dyDescent="0.3">
      <c r="A36" s="224" t="s">
        <v>93</v>
      </c>
      <c r="B36" s="217"/>
      <c r="C36" s="217">
        <f>'LOTTR Non-Interstate'!S26</f>
        <v>0.95</v>
      </c>
      <c r="D36" s="222"/>
      <c r="E36" s="223"/>
      <c r="F36" s="211"/>
      <c r="G36" s="217"/>
      <c r="H36" s="217">
        <f>'LOTTR Non-Interstate'!T26</f>
        <v>0.93</v>
      </c>
      <c r="I36" s="222"/>
      <c r="J36" s="223"/>
      <c r="K36" s="211"/>
      <c r="L36" s="217"/>
      <c r="M36" s="217">
        <f>'LOTTR Non-Interstate'!W26</f>
        <v>0.93</v>
      </c>
      <c r="N36" s="222"/>
      <c r="O36" s="223"/>
      <c r="P36" s="211"/>
      <c r="Q36" s="217"/>
      <c r="R36" s="217">
        <f>'LOTTR Non-Interstate'!X26</f>
        <v>0.93</v>
      </c>
      <c r="S36" s="222"/>
      <c r="T36" s="223"/>
    </row>
    <row r="37" spans="1:20" s="113" customFormat="1" ht="13" x14ac:dyDescent="0.3">
      <c r="A37" s="224" t="s">
        <v>94</v>
      </c>
      <c r="B37" s="217">
        <f>'LOTTR Interstate'!S27</f>
        <v>0.85</v>
      </c>
      <c r="C37" s="217">
        <f>'LOTTR Non-Interstate'!S27</f>
        <v>0.85</v>
      </c>
      <c r="D37" s="222">
        <f>TTTR!S27</f>
        <v>1.7</v>
      </c>
      <c r="E37" s="223"/>
      <c r="F37" s="211"/>
      <c r="G37" s="217">
        <f>'LOTTR Interstate'!T27</f>
        <v>0.8</v>
      </c>
      <c r="H37" s="217">
        <f>'LOTTR Non-Interstate'!T27</f>
        <v>0.85</v>
      </c>
      <c r="I37" s="222">
        <f>TTTR!T27</f>
        <v>1.75</v>
      </c>
      <c r="J37" s="223"/>
      <c r="K37" s="211"/>
      <c r="L37" s="217">
        <f>'LOTTR Interstate'!W27</f>
        <v>0.8</v>
      </c>
      <c r="M37" s="217">
        <f>'LOTTR Non-Interstate'!W27</f>
        <v>0.85</v>
      </c>
      <c r="N37" s="222">
        <f>TTTR!W27</f>
        <v>1.75</v>
      </c>
      <c r="O37" s="223"/>
      <c r="P37" s="211"/>
      <c r="Q37" s="217">
        <f>'LOTTR Interstate'!X27</f>
        <v>0.8</v>
      </c>
      <c r="R37" s="217">
        <f>'LOTTR Non-Interstate'!X27</f>
        <v>0.85</v>
      </c>
      <c r="S37" s="222">
        <f>TTTR!X27</f>
        <v>1.78</v>
      </c>
      <c r="T37" s="223"/>
    </row>
    <row r="38" spans="1:20" s="113" customFormat="1" ht="13" x14ac:dyDescent="0.3">
      <c r="A38" s="224" t="s">
        <v>95</v>
      </c>
      <c r="B38" s="217">
        <f>'LOTTR Interstate'!S28</f>
        <v>0.97</v>
      </c>
      <c r="C38" s="217">
        <f>'LOTTR Non-Interstate'!S28</f>
        <v>0.85</v>
      </c>
      <c r="D38" s="222">
        <f>TTTR!S28</f>
        <v>1.35</v>
      </c>
      <c r="E38" s="223"/>
      <c r="F38" s="211"/>
      <c r="G38" s="217">
        <f>'LOTTR Interstate'!T28</f>
        <v>0.97</v>
      </c>
      <c r="H38" s="217">
        <f>'LOTTR Non-Interstate'!T28</f>
        <v>0.8</v>
      </c>
      <c r="I38" s="222">
        <f>TTTR!T28</f>
        <v>1.4</v>
      </c>
      <c r="J38" s="223"/>
      <c r="K38" s="211"/>
      <c r="L38" s="217">
        <f>'LOTTR Interstate'!W28</f>
        <v>0.97</v>
      </c>
      <c r="M38" s="217">
        <f>'LOTTR Non-Interstate'!W28</f>
        <v>0.8</v>
      </c>
      <c r="N38" s="222">
        <f>TTTR!W28</f>
        <v>1.4</v>
      </c>
      <c r="O38" s="223"/>
      <c r="P38" s="211"/>
      <c r="Q38" s="217">
        <f>'LOTTR Interstate'!X28</f>
        <v>0.97</v>
      </c>
      <c r="R38" s="217">
        <f>'LOTTR Non-Interstate'!X28</f>
        <v>0.8</v>
      </c>
      <c r="S38" s="222">
        <f>TTTR!X28</f>
        <v>1.43</v>
      </c>
      <c r="T38" s="223"/>
    </row>
    <row r="39" spans="1:20" s="113" customFormat="1" ht="14.5" x14ac:dyDescent="0.35">
      <c r="A39" s="93" t="s">
        <v>96</v>
      </c>
      <c r="B39" s="508">
        <f>'LOTTR Interstate'!S29</f>
        <v>0.91</v>
      </c>
      <c r="C39" s="508">
        <f>'LOTTR Non-Interstate'!S29</f>
        <v>0.75</v>
      </c>
      <c r="D39" s="509">
        <f>TTTR!S29</f>
        <v>1.6</v>
      </c>
      <c r="E39" s="510" t="s">
        <v>97</v>
      </c>
      <c r="F39" s="211"/>
      <c r="G39" s="508">
        <f>'LOTTR Interstate'!T29</f>
        <v>0.89</v>
      </c>
      <c r="H39" s="508">
        <f>'LOTTR Non-Interstate'!T29</f>
        <v>0.7</v>
      </c>
      <c r="I39" s="509">
        <f>TTTR!T29</f>
        <v>1.7</v>
      </c>
      <c r="J39" s="510" t="s">
        <v>97</v>
      </c>
      <c r="K39" s="211"/>
      <c r="L39" s="508">
        <f>'LOTTR Interstate'!W29</f>
        <v>0.89</v>
      </c>
      <c r="M39" s="508">
        <f>'LOTTR Non-Interstate'!W29</f>
        <v>0.7</v>
      </c>
      <c r="N39" s="509">
        <f>TTTR!W29</f>
        <v>1.7</v>
      </c>
      <c r="O39" s="510"/>
      <c r="P39" s="211"/>
      <c r="Q39" s="508">
        <f>'LOTTR Interstate'!X29</f>
        <v>0.89</v>
      </c>
      <c r="R39" s="508">
        <f>'LOTTR Non-Interstate'!X29</f>
        <v>0.69</v>
      </c>
      <c r="S39" s="509">
        <f>TTTR!X29</f>
        <v>1.75</v>
      </c>
      <c r="T39" s="510"/>
    </row>
    <row r="40" spans="1:20" s="113" customFormat="1" ht="13" x14ac:dyDescent="0.3">
      <c r="A40" s="224" t="s">
        <v>98</v>
      </c>
      <c r="B40" s="217">
        <f>'LOTTR Interstate'!S30</f>
        <v>0.7</v>
      </c>
      <c r="C40" s="217">
        <f>'LOTTR Non-Interstate'!S30</f>
        <v>0.7</v>
      </c>
      <c r="D40" s="222">
        <f>TTTR!S30</f>
        <v>2.08</v>
      </c>
      <c r="E40" s="223"/>
      <c r="F40" s="211"/>
      <c r="G40" s="217">
        <f>'LOTTR Interstate'!T30</f>
        <v>0.65</v>
      </c>
      <c r="H40" s="217">
        <f>'LOTTR Non-Interstate'!T30</f>
        <v>0.65</v>
      </c>
      <c r="I40" s="222">
        <f>TTTR!T30</f>
        <v>2.15</v>
      </c>
      <c r="J40" s="223"/>
      <c r="K40" s="211"/>
      <c r="L40" s="217">
        <f>'LOTTR Interstate'!W30</f>
        <v>0.65</v>
      </c>
      <c r="M40" s="217">
        <f>'LOTTR Non-Interstate'!W30</f>
        <v>0.65</v>
      </c>
      <c r="N40" s="222">
        <f>TTTR!W30</f>
        <v>2.15</v>
      </c>
      <c r="O40" s="223"/>
      <c r="P40" s="211"/>
      <c r="Q40" s="217">
        <f>'LOTTR Interstate'!X30</f>
        <v>0.64</v>
      </c>
      <c r="R40" s="217">
        <f>'LOTTR Non-Interstate'!X30</f>
        <v>0.64</v>
      </c>
      <c r="S40" s="222">
        <f>TTTR!X30</f>
        <v>2.23</v>
      </c>
      <c r="T40" s="223"/>
    </row>
    <row r="41" spans="1:20" s="113" customFormat="1" ht="13" x14ac:dyDescent="0.3">
      <c r="A41" s="224" t="s">
        <v>99</v>
      </c>
      <c r="B41" s="217">
        <f>'LOTTR Interstate'!S31</f>
        <v>0.97</v>
      </c>
      <c r="C41" s="217">
        <f>'LOTTR Non-Interstate'!S31</f>
        <v>0.9</v>
      </c>
      <c r="D41" s="222">
        <f>TTTR!S31</f>
        <v>1.3</v>
      </c>
      <c r="E41" s="223"/>
      <c r="F41" s="211"/>
      <c r="G41" s="217">
        <f>'LOTTR Interstate'!T31</f>
        <v>0.95</v>
      </c>
      <c r="H41" s="217">
        <f>'LOTTR Non-Interstate'!T31</f>
        <v>0.9</v>
      </c>
      <c r="I41" s="222">
        <f>TTTR!T31</f>
        <v>1.35</v>
      </c>
      <c r="J41" s="223"/>
      <c r="K41" s="211"/>
      <c r="L41" s="217">
        <f>'LOTTR Interstate'!W31</f>
        <v>0.95</v>
      </c>
      <c r="M41" s="217">
        <f>'LOTTR Non-Interstate'!W31</f>
        <v>0.9</v>
      </c>
      <c r="N41" s="222">
        <f>TTTR!W31</f>
        <v>1.35</v>
      </c>
      <c r="O41" s="223"/>
      <c r="P41" s="211"/>
      <c r="Q41" s="217">
        <f>'LOTTR Interstate'!X31</f>
        <v>0.95</v>
      </c>
      <c r="R41" s="217">
        <f>'LOTTR Non-Interstate'!X31</f>
        <v>0.9</v>
      </c>
      <c r="S41" s="222">
        <f>TTTR!X31</f>
        <v>1.3800000000000001</v>
      </c>
      <c r="T41" s="223"/>
    </row>
    <row r="42" spans="1:20" s="114" customFormat="1" ht="13" x14ac:dyDescent="0.3">
      <c r="A42" s="225" t="s">
        <v>100</v>
      </c>
      <c r="B42" s="236">
        <f>'LOTTR Interstate'!S32</f>
        <v>0.75</v>
      </c>
      <c r="C42" s="236">
        <f>'LOTTR Non-Interstate'!S32</f>
        <v>0.7</v>
      </c>
      <c r="D42" s="237">
        <f>TTTR!S32</f>
        <v>1.7</v>
      </c>
      <c r="E42" s="226"/>
      <c r="F42" s="212"/>
      <c r="G42" s="236">
        <f>'LOTTR Interstate'!T32</f>
        <v>0.7</v>
      </c>
      <c r="H42" s="236">
        <f>'LOTTR Non-Interstate'!T32</f>
        <v>0.7</v>
      </c>
      <c r="I42" s="237">
        <f>TTTR!T32</f>
        <v>1.7552795071281575</v>
      </c>
      <c r="J42" s="226"/>
      <c r="K42" s="212"/>
      <c r="L42" s="236">
        <f>'LOTTR Interstate'!W32</f>
        <v>0.7</v>
      </c>
      <c r="M42" s="236">
        <f>'LOTTR Non-Interstate'!W32</f>
        <v>0.7</v>
      </c>
      <c r="N42" s="237">
        <f>TTTR!W32</f>
        <v>1.7552795071281575</v>
      </c>
      <c r="O42" s="226"/>
      <c r="P42" s="212"/>
      <c r="Q42" s="236">
        <f>'LOTTR Interstate'!X32</f>
        <v>0.69</v>
      </c>
      <c r="R42" s="236">
        <f>'LOTTR Non-Interstate'!X32</f>
        <v>0.69</v>
      </c>
      <c r="S42" s="237">
        <f>TTTR!X32</f>
        <v>1.8352795071281576</v>
      </c>
      <c r="T42" s="226"/>
    </row>
    <row r="43" spans="1:20" s="113" customFormat="1" ht="13" x14ac:dyDescent="0.35">
      <c r="A43" s="210" t="s">
        <v>101</v>
      </c>
      <c r="B43" s="220"/>
      <c r="C43" s="220"/>
      <c r="D43" s="220"/>
      <c r="E43" s="220"/>
      <c r="F43" s="220"/>
      <c r="G43" s="238"/>
      <c r="H43" s="238"/>
      <c r="I43" s="238"/>
      <c r="J43" s="220"/>
      <c r="K43" s="220"/>
      <c r="L43" s="220"/>
      <c r="M43" s="220"/>
      <c r="N43" s="220"/>
      <c r="O43" s="218">
        <f>PHED!Z15</f>
        <v>9</v>
      </c>
      <c r="P43" s="220"/>
      <c r="Q43" s="220"/>
      <c r="R43" s="220"/>
      <c r="S43" s="220"/>
      <c r="T43" s="218">
        <f>PHED!AA15</f>
        <v>10</v>
      </c>
    </row>
    <row r="44" spans="1:20" s="113" customFormat="1" ht="13" x14ac:dyDescent="0.35">
      <c r="A44" s="210" t="s">
        <v>102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18">
        <f>PHED!Z16</f>
        <v>8</v>
      </c>
      <c r="P44" s="220"/>
      <c r="Q44" s="220"/>
      <c r="R44" s="220"/>
      <c r="S44" s="220"/>
      <c r="T44" s="218">
        <f>PHED!AA16</f>
        <v>8</v>
      </c>
    </row>
    <row r="45" spans="1:20" ht="13" x14ac:dyDescent="0.35">
      <c r="A45" s="210" t="s">
        <v>103</v>
      </c>
      <c r="O45" s="218">
        <f>PHED!Z17</f>
        <v>4</v>
      </c>
      <c r="T45" s="218">
        <f>PHED!AA17</f>
        <v>4</v>
      </c>
    </row>
    <row r="48" spans="1:20" x14ac:dyDescent="0.35">
      <c r="A48" s="227" t="s">
        <v>104</v>
      </c>
    </row>
  </sheetData>
  <mergeCells count="4">
    <mergeCell ref="B11:E11"/>
    <mergeCell ref="G11:J11"/>
    <mergeCell ref="L11:O11"/>
    <mergeCell ref="Q11:T11"/>
  </mergeCells>
  <printOptions horizontalCentered="1" verticalCentered="1"/>
  <pageMargins left="0.45" right="0.45" top="0.5" bottom="0.5" header="0.3" footer="0.3"/>
  <pageSetup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E8CB-5169-42EF-83F5-40747523320F}">
  <dimension ref="A1:V11"/>
  <sheetViews>
    <sheetView zoomScale="70" zoomScaleNormal="70" workbookViewId="0">
      <selection activeCell="Y38" sqref="Y38"/>
    </sheetView>
  </sheetViews>
  <sheetFormatPr defaultRowHeight="14.5" x14ac:dyDescent="0.35"/>
  <cols>
    <col min="1" max="1" width="6.81640625" bestFit="1" customWidth="1"/>
    <col min="2" max="2" width="19.81640625" bestFit="1" customWidth="1"/>
    <col min="3" max="3" width="9.81640625" bestFit="1" customWidth="1"/>
    <col min="4" max="4" width="10" bestFit="1" customWidth="1"/>
    <col min="5" max="5" width="19" bestFit="1" customWidth="1"/>
    <col min="6" max="6" width="9.81640625" bestFit="1" customWidth="1"/>
    <col min="7" max="7" width="16.81640625" customWidth="1"/>
    <col min="8" max="8" width="19.81640625" bestFit="1" customWidth="1"/>
    <col min="9" max="9" width="9.81640625" bestFit="1" customWidth="1"/>
    <col min="10" max="10" width="10.453125" bestFit="1" customWidth="1"/>
    <col min="11" max="11" width="19.81640625" bestFit="1" customWidth="1"/>
    <col min="12" max="12" width="9.81640625" bestFit="1" customWidth="1"/>
    <col min="13" max="13" width="10.453125" bestFit="1" customWidth="1"/>
    <col min="14" max="14" width="19.81640625" bestFit="1" customWidth="1"/>
    <col min="15" max="15" width="9.81640625" bestFit="1" customWidth="1"/>
    <col min="16" max="16" width="10.453125" bestFit="1" customWidth="1"/>
    <col min="17" max="17" width="19.81640625" bestFit="1" customWidth="1"/>
    <col min="18" max="18" width="9.81640625" bestFit="1" customWidth="1"/>
    <col min="19" max="19" width="10.453125" bestFit="1" customWidth="1"/>
    <col min="20" max="20" width="19.81640625" bestFit="1" customWidth="1"/>
    <col min="21" max="21" width="9.81640625" bestFit="1" customWidth="1"/>
    <col min="22" max="22" width="10.453125" bestFit="1" customWidth="1"/>
  </cols>
  <sheetData>
    <row r="1" spans="1:22" ht="15" thickBot="1" x14ac:dyDescent="0.4">
      <c r="A1" s="5" t="s">
        <v>52</v>
      </c>
      <c r="B1" s="635" t="s">
        <v>53</v>
      </c>
      <c r="C1" s="636"/>
      <c r="D1" s="637"/>
      <c r="E1" s="635" t="s">
        <v>54</v>
      </c>
      <c r="F1" s="636"/>
      <c r="G1" s="637"/>
      <c r="H1" s="635" t="s">
        <v>55</v>
      </c>
      <c r="I1" s="636"/>
      <c r="J1" s="637"/>
      <c r="K1" s="632" t="s">
        <v>56</v>
      </c>
      <c r="L1" s="633"/>
      <c r="M1" s="634"/>
      <c r="N1" s="632" t="s">
        <v>57</v>
      </c>
      <c r="O1" s="633"/>
      <c r="P1" s="633"/>
      <c r="Q1" s="638" t="s">
        <v>58</v>
      </c>
      <c r="R1" s="639"/>
      <c r="S1" s="640"/>
      <c r="T1" s="632" t="s">
        <v>59</v>
      </c>
      <c r="U1" s="633"/>
      <c r="V1" s="634"/>
    </row>
    <row r="2" spans="1:22" ht="15" thickBot="1" x14ac:dyDescent="0.4">
      <c r="B2" s="581" t="s">
        <v>60</v>
      </c>
      <c r="C2" s="582" t="s">
        <v>61</v>
      </c>
      <c r="D2" s="583" t="s">
        <v>62</v>
      </c>
      <c r="E2" s="581" t="s">
        <v>60</v>
      </c>
      <c r="F2" s="582" t="s">
        <v>61</v>
      </c>
      <c r="G2" s="600" t="s">
        <v>62</v>
      </c>
      <c r="H2" s="606" t="s">
        <v>60</v>
      </c>
      <c r="I2" s="607" t="s">
        <v>61</v>
      </c>
      <c r="J2" s="611" t="s">
        <v>62</v>
      </c>
      <c r="K2" s="606" t="s">
        <v>60</v>
      </c>
      <c r="L2" s="607" t="s">
        <v>61</v>
      </c>
      <c r="M2" s="608" t="s">
        <v>62</v>
      </c>
      <c r="N2" s="606" t="s">
        <v>60</v>
      </c>
      <c r="O2" s="607" t="s">
        <v>61</v>
      </c>
      <c r="P2" s="611" t="s">
        <v>62</v>
      </c>
      <c r="Q2" s="626" t="s">
        <v>60</v>
      </c>
      <c r="R2" s="602" t="s">
        <v>61</v>
      </c>
      <c r="S2" s="627" t="s">
        <v>62</v>
      </c>
      <c r="T2" s="629" t="s">
        <v>60</v>
      </c>
      <c r="U2" s="630" t="s">
        <v>61</v>
      </c>
      <c r="V2" s="631" t="s">
        <v>62</v>
      </c>
    </row>
    <row r="3" spans="1:22" ht="15" thickBot="1" x14ac:dyDescent="0.4">
      <c r="A3" s="578">
        <v>2017</v>
      </c>
      <c r="B3" s="586">
        <f>'LOTTR Interstate'!F32</f>
        <v>0.81172655092453327</v>
      </c>
      <c r="C3" s="587"/>
      <c r="D3" s="594"/>
      <c r="E3" s="586">
        <f>'LOTTR Non-Interstate'!F32</f>
        <v>0.81927839601388586</v>
      </c>
      <c r="F3" s="598"/>
      <c r="G3" s="601"/>
      <c r="H3" s="609">
        <f>TTTR!F32</f>
        <v>1.3860149978024436</v>
      </c>
      <c r="I3" s="610"/>
      <c r="J3" s="612"/>
      <c r="K3" s="616">
        <f>PHED!S11</f>
        <v>12.8</v>
      </c>
      <c r="L3" s="617"/>
      <c r="M3" s="622"/>
      <c r="N3" s="616">
        <f>PHED!S12</f>
        <v>15.5</v>
      </c>
      <c r="O3" s="617"/>
      <c r="P3" s="622"/>
      <c r="Q3" s="618">
        <f>PHED!S14</f>
        <v>7.4</v>
      </c>
      <c r="R3" s="615"/>
      <c r="S3" s="623"/>
      <c r="T3" s="616">
        <f>PHED!S13</f>
        <v>9.6999999999999993</v>
      </c>
      <c r="U3" s="587"/>
      <c r="V3" s="588"/>
    </row>
    <row r="4" spans="1:22" ht="15" thickBot="1" x14ac:dyDescent="0.4">
      <c r="A4" s="578">
        <v>2018</v>
      </c>
      <c r="B4" s="589">
        <f>'LOTTR Interstate'!G32</f>
        <v>0.80512128055596421</v>
      </c>
      <c r="C4" s="585"/>
      <c r="D4" s="595"/>
      <c r="E4" s="589">
        <f>'LOTTR Non-Interstate'!G32</f>
        <v>0.83448705704928927</v>
      </c>
      <c r="F4" s="584"/>
      <c r="G4" s="596"/>
      <c r="H4" s="604">
        <f>TTTR!G32</f>
        <v>1.4273348397663403</v>
      </c>
      <c r="I4" s="603"/>
      <c r="J4" s="613"/>
      <c r="K4" s="618">
        <f>PHED!T11</f>
        <v>13.7</v>
      </c>
      <c r="L4" s="615"/>
      <c r="M4" s="623"/>
      <c r="N4" s="618">
        <f>PHED!T12</f>
        <v>18.3</v>
      </c>
      <c r="O4" s="615"/>
      <c r="P4" s="623"/>
      <c r="Q4" s="618">
        <f>PHED!T14</f>
        <v>7.2</v>
      </c>
      <c r="R4" s="615"/>
      <c r="S4" s="623"/>
      <c r="T4" s="618">
        <f>PHED!T13</f>
        <v>10.8</v>
      </c>
      <c r="U4" s="585"/>
      <c r="V4" s="590"/>
    </row>
    <row r="5" spans="1:22" ht="15" thickBot="1" x14ac:dyDescent="0.4">
      <c r="A5" s="578">
        <v>2019</v>
      </c>
      <c r="B5" s="589">
        <f>'LOTTR Interstate'!H32</f>
        <v>0.82434113614350024</v>
      </c>
      <c r="C5" s="585"/>
      <c r="D5" s="595"/>
      <c r="E5" s="589">
        <f>'LOTTR Non-Interstate'!H32</f>
        <v>0.8427028540613164</v>
      </c>
      <c r="F5" s="584"/>
      <c r="G5" s="596"/>
      <c r="H5" s="604">
        <f>TTTR!H32</f>
        <v>1.4317721229650029</v>
      </c>
      <c r="I5" s="603"/>
      <c r="J5" s="613"/>
      <c r="K5" s="618">
        <f>PHED!U11</f>
        <v>12.2</v>
      </c>
      <c r="L5" s="615"/>
      <c r="M5" s="623"/>
      <c r="N5" s="618">
        <f>PHED!U12</f>
        <v>13.4</v>
      </c>
      <c r="O5" s="615"/>
      <c r="P5" s="623"/>
      <c r="Q5" s="618">
        <f>PHED!U14</f>
        <v>6.3</v>
      </c>
      <c r="R5" s="615"/>
      <c r="S5" s="623"/>
      <c r="T5" s="618">
        <f>PHED!U13</f>
        <v>11.1</v>
      </c>
      <c r="U5" s="585"/>
      <c r="V5" s="590"/>
    </row>
    <row r="6" spans="1:22" ht="15" thickBot="1" x14ac:dyDescent="0.4">
      <c r="A6" s="578">
        <v>2020</v>
      </c>
      <c r="B6" s="589">
        <f>'LOTTR Interstate'!I32</f>
        <v>0.90808510176135382</v>
      </c>
      <c r="C6" s="585"/>
      <c r="D6" s="595"/>
      <c r="E6" s="589">
        <f>'LOTTR Non-Interstate'!I32</f>
        <v>0.91903052399048413</v>
      </c>
      <c r="F6" s="584"/>
      <c r="G6" s="596"/>
      <c r="H6" s="604">
        <f>TTTR!I32</f>
        <v>1.3293889311580951</v>
      </c>
      <c r="I6" s="603"/>
      <c r="J6" s="613"/>
      <c r="K6" s="618">
        <f>PHED!V11</f>
        <v>7.2</v>
      </c>
      <c r="L6" s="615"/>
      <c r="M6" s="623"/>
      <c r="N6" s="618">
        <f>PHED!V12</f>
        <v>7.9</v>
      </c>
      <c r="O6" s="615"/>
      <c r="P6" s="623"/>
      <c r="Q6" s="618">
        <f>PHED!V14</f>
        <v>4.5999999999999996</v>
      </c>
      <c r="R6" s="615"/>
      <c r="S6" s="623"/>
      <c r="T6" s="618">
        <f>PHED!V13</f>
        <v>5.7</v>
      </c>
      <c r="U6" s="585"/>
      <c r="V6" s="590"/>
    </row>
    <row r="7" spans="1:22" ht="15" thickBot="1" x14ac:dyDescent="0.4">
      <c r="A7" s="579">
        <v>2020</v>
      </c>
      <c r="B7" s="591"/>
      <c r="C7" s="584">
        <f>'State Summary'!B42</f>
        <v>0.75</v>
      </c>
      <c r="D7" s="595"/>
      <c r="E7" s="591"/>
      <c r="F7" s="584">
        <f>'State Summary'!C42</f>
        <v>0.7</v>
      </c>
      <c r="G7" s="596"/>
      <c r="H7" s="591"/>
      <c r="I7" s="603">
        <f>'State Summary'!D42</f>
        <v>1.7</v>
      </c>
      <c r="J7" s="613"/>
      <c r="K7" s="591"/>
      <c r="L7" s="615">
        <f>'State Summary'!E21</f>
        <v>14</v>
      </c>
      <c r="M7" s="623"/>
      <c r="N7" s="591"/>
      <c r="O7" s="615">
        <f>'State Summary'!E25</f>
        <v>15</v>
      </c>
      <c r="P7" s="623"/>
      <c r="Q7" s="591"/>
      <c r="R7" s="625"/>
      <c r="S7" s="628"/>
      <c r="T7" s="591"/>
      <c r="U7" s="615"/>
      <c r="V7" s="590"/>
    </row>
    <row r="8" spans="1:22" ht="15" thickBot="1" x14ac:dyDescent="0.4">
      <c r="A8" s="578">
        <v>2021</v>
      </c>
      <c r="B8" s="589">
        <f>'LOTTR Interstate'!J32</f>
        <v>0.85941051406992419</v>
      </c>
      <c r="C8" s="585"/>
      <c r="D8" s="595"/>
      <c r="E8" s="589">
        <f>'LOTTR Non-Interstate'!J32</f>
        <v>0.90753763015617717</v>
      </c>
      <c r="F8" s="584"/>
      <c r="G8" s="596"/>
      <c r="H8" s="604">
        <f>TTTR!J32</f>
        <v>1.3745102391276744</v>
      </c>
      <c r="I8" s="603"/>
      <c r="J8" s="613"/>
      <c r="K8" s="618">
        <f>PHED!W11</f>
        <v>10.4</v>
      </c>
      <c r="L8" s="615"/>
      <c r="M8" s="623"/>
      <c r="N8" s="618">
        <f>PHED!W12</f>
        <v>12.2</v>
      </c>
      <c r="O8" s="615"/>
      <c r="P8" s="623"/>
      <c r="Q8" s="615">
        <f>PHED!W14</f>
        <v>7.5</v>
      </c>
      <c r="S8" s="623"/>
      <c r="T8" s="618">
        <f>PHED!W13</f>
        <v>9.6999999999999993</v>
      </c>
      <c r="U8" s="585"/>
      <c r="V8" s="590"/>
    </row>
    <row r="9" spans="1:22" ht="15" thickBot="1" x14ac:dyDescent="0.4">
      <c r="A9" s="579">
        <v>2022</v>
      </c>
      <c r="B9" s="591"/>
      <c r="C9" s="584">
        <f>'State Summary'!G42</f>
        <v>0.7</v>
      </c>
      <c r="D9" s="595"/>
      <c r="E9" s="591"/>
      <c r="F9" s="584">
        <f>'State Summary'!H42</f>
        <v>0.7</v>
      </c>
      <c r="G9" s="596"/>
      <c r="H9" s="591"/>
      <c r="I9" s="603">
        <f>'State Summary'!I42</f>
        <v>1.7552795071281575</v>
      </c>
      <c r="J9" s="613"/>
      <c r="K9" s="591"/>
      <c r="L9" s="615">
        <f>'State Summary'!J21</f>
        <v>14</v>
      </c>
      <c r="M9" s="623"/>
      <c r="N9" s="591"/>
      <c r="O9" s="615">
        <f>'State Summary'!J25</f>
        <v>15</v>
      </c>
      <c r="P9" s="623"/>
      <c r="Q9" s="591"/>
      <c r="R9" s="625"/>
      <c r="S9" s="628"/>
      <c r="T9" s="591"/>
      <c r="U9" s="615"/>
      <c r="V9" s="590"/>
    </row>
    <row r="10" spans="1:22" ht="15" thickBot="1" x14ac:dyDescent="0.4">
      <c r="A10" s="580">
        <v>2024</v>
      </c>
      <c r="B10" s="591"/>
      <c r="C10" s="585"/>
      <c r="D10" s="596">
        <f>'State Summary'!L42</f>
        <v>0.7</v>
      </c>
      <c r="E10" s="591"/>
      <c r="F10" s="584"/>
      <c r="G10" s="596">
        <f>'State Summary'!M42</f>
        <v>0.7</v>
      </c>
      <c r="H10" s="591"/>
      <c r="I10" s="603"/>
      <c r="J10" s="613">
        <f>'State Summary'!N42</f>
        <v>1.7552795071281575</v>
      </c>
      <c r="K10" s="591"/>
      <c r="L10" s="615"/>
      <c r="M10" s="623">
        <f>'State Summary'!O21</f>
        <v>15</v>
      </c>
      <c r="N10" s="591"/>
      <c r="O10" s="615"/>
      <c r="P10" s="623">
        <f>'State Summary'!O25</f>
        <v>16</v>
      </c>
      <c r="Q10" s="591"/>
      <c r="R10" s="615"/>
      <c r="S10" s="623">
        <f>'State Summary'!O22</f>
        <v>9</v>
      </c>
      <c r="T10" s="591"/>
      <c r="U10" s="585"/>
      <c r="V10" s="619">
        <f>'State Summary'!O32</f>
        <v>14</v>
      </c>
    </row>
    <row r="11" spans="1:22" ht="15" thickBot="1" x14ac:dyDescent="0.4">
      <c r="A11" s="580">
        <v>2026</v>
      </c>
      <c r="B11" s="592"/>
      <c r="C11" s="593"/>
      <c r="D11" s="597">
        <f>'State Summary'!Q42</f>
        <v>0.69</v>
      </c>
      <c r="E11" s="592"/>
      <c r="F11" s="599"/>
      <c r="G11" s="597">
        <f>'State Summary'!R42</f>
        <v>0.69</v>
      </c>
      <c r="H11" s="592"/>
      <c r="I11" s="605"/>
      <c r="J11" s="614">
        <f>'State Summary'!S42</f>
        <v>1.8352795071281576</v>
      </c>
      <c r="K11" s="592"/>
      <c r="L11" s="620"/>
      <c r="M11" s="624">
        <f>'State Summary'!T21</f>
        <v>15</v>
      </c>
      <c r="N11" s="592"/>
      <c r="O11" s="620"/>
      <c r="P11" s="624">
        <f>'State Summary'!T25</f>
        <v>16</v>
      </c>
      <c r="Q11" s="592"/>
      <c r="R11" s="620"/>
      <c r="S11" s="624">
        <f>'State Summary'!T22</f>
        <v>10</v>
      </c>
      <c r="T11" s="592"/>
      <c r="U11" s="593"/>
      <c r="V11" s="621">
        <f>'State Summary'!T32</f>
        <v>15</v>
      </c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F69"/>
  <sheetViews>
    <sheetView zoomScale="70" zoomScaleNormal="7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V33" sqref="V33"/>
    </sheetView>
  </sheetViews>
  <sheetFormatPr defaultRowHeight="14.5" x14ac:dyDescent="0.35"/>
  <cols>
    <col min="1" max="1" width="25.7265625" customWidth="1"/>
    <col min="2" max="4" width="15.7265625" style="84" customWidth="1"/>
    <col min="5" max="5" width="15.7265625" customWidth="1"/>
    <col min="6" max="6" width="20.26953125" customWidth="1"/>
    <col min="7" max="7" width="19.453125" customWidth="1"/>
    <col min="8" max="8" width="23.7265625" customWidth="1"/>
    <col min="9" max="9" width="21" customWidth="1"/>
    <col min="10" max="10" width="21.7265625" customWidth="1"/>
    <col min="11" max="16" width="15.7265625" customWidth="1"/>
    <col min="17" max="17" width="16.54296875" customWidth="1"/>
    <col min="18" max="18" width="18.453125" customWidth="1"/>
    <col min="19" max="19" width="20.453125" customWidth="1"/>
    <col min="20" max="20" width="18.26953125" customWidth="1"/>
    <col min="21" max="21" width="18.453125" customWidth="1"/>
    <col min="22" max="22" width="18.7265625" customWidth="1"/>
    <col min="23" max="23" width="17.54296875" customWidth="1"/>
    <col min="24" max="24" width="18.54296875" customWidth="1"/>
    <col min="25" max="26" width="17.7265625" customWidth="1"/>
    <col min="27" max="58" width="15.7265625" customWidth="1"/>
    <col min="59" max="59" width="19.26953125" bestFit="1" customWidth="1"/>
    <col min="60" max="63" width="15.7265625" customWidth="1"/>
    <col min="64" max="64" width="13.7265625" customWidth="1"/>
    <col min="65" max="65" width="19.26953125" bestFit="1" customWidth="1"/>
    <col min="66" max="66" width="15.7265625" customWidth="1"/>
    <col min="67" max="67" width="16.54296875" customWidth="1"/>
    <col min="68" max="68" width="13.7265625" customWidth="1"/>
    <col min="69" max="69" width="16.54296875" customWidth="1"/>
    <col min="70" max="70" width="14.54296875" customWidth="1"/>
    <col min="71" max="71" width="19.26953125" bestFit="1" customWidth="1"/>
    <col min="72" max="72" width="16.7265625" customWidth="1"/>
    <col min="73" max="73" width="13.453125" bestFit="1" customWidth="1"/>
    <col min="74" max="74" width="14.7265625" bestFit="1" customWidth="1"/>
    <col min="75" max="75" width="14" bestFit="1" customWidth="1"/>
    <col min="76" max="76" width="13" bestFit="1" customWidth="1"/>
    <col min="77" max="77" width="19.26953125" bestFit="1" customWidth="1"/>
    <col min="78" max="78" width="19.54296875" bestFit="1" customWidth="1"/>
    <col min="79" max="79" width="13.26953125" bestFit="1" customWidth="1"/>
    <col min="80" max="80" width="15.26953125" customWidth="1"/>
    <col min="81" max="81" width="13.453125" bestFit="1" customWidth="1"/>
    <col min="82" max="82" width="12.7265625" customWidth="1"/>
    <col min="83" max="83" width="19.26953125" bestFit="1" customWidth="1"/>
    <col min="84" max="84" width="16.54296875" customWidth="1"/>
  </cols>
  <sheetData>
    <row r="1" spans="1:39" s="32" customFormat="1" ht="15" thickBot="1" x14ac:dyDescent="0.4">
      <c r="B1" s="85"/>
      <c r="C1" s="85"/>
      <c r="D1" s="85"/>
    </row>
    <row r="2" spans="1:39" ht="78" customHeight="1" thickBot="1" x14ac:dyDescent="0.4">
      <c r="B2" s="361" t="s">
        <v>105</v>
      </c>
      <c r="C2" s="361" t="s">
        <v>106</v>
      </c>
      <c r="D2" s="361" t="s">
        <v>107</v>
      </c>
      <c r="E2" s="160" t="s">
        <v>108</v>
      </c>
      <c r="F2" s="160" t="s">
        <v>109</v>
      </c>
      <c r="G2" s="160" t="s">
        <v>110</v>
      </c>
      <c r="H2" s="160" t="s">
        <v>111</v>
      </c>
      <c r="I2" s="160" t="s">
        <v>112</v>
      </c>
      <c r="J2" s="160" t="s">
        <v>113</v>
      </c>
      <c r="K2" s="268" t="s">
        <v>114</v>
      </c>
      <c r="L2" s="268" t="s">
        <v>115</v>
      </c>
      <c r="M2" s="268" t="s">
        <v>116</v>
      </c>
      <c r="N2" s="268" t="s">
        <v>117</v>
      </c>
      <c r="O2" s="269" t="s">
        <v>118</v>
      </c>
      <c r="P2" s="254" t="s">
        <v>119</v>
      </c>
      <c r="Q2" s="254" t="s">
        <v>120</v>
      </c>
      <c r="R2" s="254" t="s">
        <v>121</v>
      </c>
      <c r="S2" s="250" t="s">
        <v>122</v>
      </c>
      <c r="T2" s="250" t="s">
        <v>122</v>
      </c>
      <c r="U2" s="477" t="s">
        <v>123</v>
      </c>
      <c r="V2" s="477" t="s">
        <v>124</v>
      </c>
      <c r="W2" s="152" t="s">
        <v>122</v>
      </c>
      <c r="X2" s="152" t="s">
        <v>122</v>
      </c>
      <c r="Y2" s="269" t="s">
        <v>125</v>
      </c>
      <c r="Z2" s="253" t="s">
        <v>125</v>
      </c>
      <c r="AA2" s="269" t="s">
        <v>125</v>
      </c>
      <c r="AB2" s="269" t="s">
        <v>125</v>
      </c>
      <c r="AC2" s="253" t="s">
        <v>126</v>
      </c>
      <c r="AD2" s="269" t="s">
        <v>126</v>
      </c>
      <c r="AE2" s="253" t="s">
        <v>126</v>
      </c>
      <c r="AF2" s="269" t="s">
        <v>126</v>
      </c>
      <c r="AG2" s="269" t="s">
        <v>127</v>
      </c>
      <c r="AH2" s="254" t="s">
        <v>127</v>
      </c>
      <c r="AI2" s="254" t="s">
        <v>127</v>
      </c>
      <c r="AJ2" s="254" t="s">
        <v>127</v>
      </c>
    </row>
    <row r="3" spans="1:39" ht="54" customHeight="1" thickBot="1" x14ac:dyDescent="0.4">
      <c r="A3" s="58" t="s">
        <v>128</v>
      </c>
      <c r="B3" s="362" t="s">
        <v>129</v>
      </c>
      <c r="C3" s="362" t="s">
        <v>129</v>
      </c>
      <c r="D3" s="362" t="s">
        <v>129</v>
      </c>
      <c r="E3" s="161" t="s">
        <v>129</v>
      </c>
      <c r="F3" s="161" t="s">
        <v>129</v>
      </c>
      <c r="G3" s="161" t="s">
        <v>129</v>
      </c>
      <c r="H3" s="161" t="s">
        <v>129</v>
      </c>
      <c r="I3" s="161" t="s">
        <v>129</v>
      </c>
      <c r="J3" s="161" t="s">
        <v>129</v>
      </c>
      <c r="K3" s="268" t="s">
        <v>129</v>
      </c>
      <c r="L3" s="270" t="s">
        <v>129</v>
      </c>
      <c r="M3" s="270" t="s">
        <v>129</v>
      </c>
      <c r="N3" s="270" t="s">
        <v>129</v>
      </c>
      <c r="O3" s="271" t="s">
        <v>130</v>
      </c>
      <c r="P3" s="272" t="s">
        <v>130</v>
      </c>
      <c r="Q3" s="272" t="s">
        <v>130</v>
      </c>
      <c r="R3" s="272" t="s">
        <v>130</v>
      </c>
      <c r="S3" s="152" t="s">
        <v>131</v>
      </c>
      <c r="T3" s="152" t="s">
        <v>132</v>
      </c>
      <c r="U3" s="478" t="s">
        <v>133</v>
      </c>
      <c r="V3" s="478" t="s">
        <v>134</v>
      </c>
      <c r="W3" s="152" t="s">
        <v>133</v>
      </c>
      <c r="X3" s="152" t="s">
        <v>134</v>
      </c>
      <c r="Y3" s="269" t="str">
        <f>+S3</f>
        <v>2020 LOTTR-I</v>
      </c>
      <c r="Z3" s="253" t="s">
        <v>132</v>
      </c>
      <c r="AA3" s="269" t="s">
        <v>133</v>
      </c>
      <c r="AB3" s="269" t="s">
        <v>134</v>
      </c>
      <c r="AC3" s="253" t="s">
        <v>135</v>
      </c>
      <c r="AD3" s="269" t="s">
        <v>136</v>
      </c>
      <c r="AE3" s="269" t="s">
        <v>137</v>
      </c>
      <c r="AF3" s="253" t="s">
        <v>138</v>
      </c>
      <c r="AG3" s="269" t="s">
        <v>139</v>
      </c>
      <c r="AH3" s="254" t="s">
        <v>140</v>
      </c>
      <c r="AI3" s="254" t="s">
        <v>141</v>
      </c>
      <c r="AJ3" s="254" t="s">
        <v>142</v>
      </c>
    </row>
    <row r="4" spans="1:39" x14ac:dyDescent="0.35">
      <c r="A4" s="55" t="s">
        <v>71</v>
      </c>
      <c r="B4" s="162">
        <f>+E36</f>
        <v>0.93377546397492472</v>
      </c>
      <c r="C4" s="162">
        <f>+I36</f>
        <v>0.94673343184668346</v>
      </c>
      <c r="D4" s="162">
        <f>+M36</f>
        <v>0.95357372260332074</v>
      </c>
      <c r="E4" s="461">
        <f>+Q36</f>
        <v>1</v>
      </c>
      <c r="F4" s="455">
        <f>U36</f>
        <v>1</v>
      </c>
      <c r="G4" s="462">
        <f>Y36</f>
        <v>1</v>
      </c>
      <c r="H4" s="462">
        <f>AC36</f>
        <v>1</v>
      </c>
      <c r="I4" s="462">
        <f>AR36</f>
        <v>1</v>
      </c>
      <c r="J4" s="455">
        <f>BB36</f>
        <v>1</v>
      </c>
      <c r="K4" s="371">
        <f>AN36</f>
        <v>1</v>
      </c>
      <c r="L4" s="444">
        <f>BH36</f>
        <v>1</v>
      </c>
      <c r="M4" s="444">
        <f>BT36</f>
        <v>1</v>
      </c>
      <c r="N4" s="444">
        <f>CF36</f>
        <v>1</v>
      </c>
      <c r="O4" s="321">
        <f>+(K4-H4)*100</f>
        <v>0</v>
      </c>
      <c r="P4" s="321">
        <f>+(L4-H4)*100</f>
        <v>0</v>
      </c>
      <c r="Q4" s="317">
        <f>+(M4-H4)*100</f>
        <v>0</v>
      </c>
      <c r="R4" s="321">
        <f>+(N4-H4)*100</f>
        <v>0</v>
      </c>
      <c r="S4" s="325">
        <v>0.97</v>
      </c>
      <c r="T4" s="324">
        <v>0.97</v>
      </c>
      <c r="U4" s="494">
        <v>0</v>
      </c>
      <c r="V4" s="495">
        <v>0</v>
      </c>
      <c r="W4" s="325">
        <f>+T4+U4</f>
        <v>0.97</v>
      </c>
      <c r="X4" s="325">
        <f>+W4+V4</f>
        <v>0.97</v>
      </c>
      <c r="Y4" s="333">
        <f t="shared" ref="Y4:Z8" si="0">+K4-S4</f>
        <v>3.0000000000000027E-2</v>
      </c>
      <c r="Z4" s="328">
        <f t="shared" si="0"/>
        <v>3.0000000000000027E-2</v>
      </c>
      <c r="AA4" s="372">
        <f t="shared" ref="AA4:AA32" si="1">+M4-W4</f>
        <v>3.0000000000000027E-2</v>
      </c>
      <c r="AB4" s="372">
        <f t="shared" ref="AB4:AB32" si="2">+N4-X4</f>
        <v>3.0000000000000027E-2</v>
      </c>
      <c r="AC4" s="448">
        <f>AM36</f>
        <v>796224.41</v>
      </c>
      <c r="AD4" s="338">
        <f>BG36</f>
        <v>812228.52064099989</v>
      </c>
      <c r="AE4" s="338">
        <f>BS36</f>
        <v>828554.31390588405</v>
      </c>
      <c r="AF4" s="449">
        <f>CE36</f>
        <v>845208.25561539223</v>
      </c>
      <c r="AG4" s="373">
        <f t="shared" ref="AG4:AH8" si="3">AC4*S4</f>
        <v>772337.6777</v>
      </c>
      <c r="AH4" s="373">
        <f t="shared" si="3"/>
        <v>787861.66502176982</v>
      </c>
      <c r="AI4" s="373">
        <f t="shared" ref="AI4:AJ8" si="4">AE4*W4</f>
        <v>803697.68448870745</v>
      </c>
      <c r="AJ4" s="373">
        <f t="shared" si="4"/>
        <v>819852.00794693048</v>
      </c>
      <c r="AM4" s="301"/>
    </row>
    <row r="5" spans="1:39" x14ac:dyDescent="0.35">
      <c r="A5" s="56" t="s">
        <v>72</v>
      </c>
      <c r="B5" s="162">
        <f t="shared" ref="B5:B27" si="5">+E37</f>
        <v>0.96469262574668724</v>
      </c>
      <c r="C5" s="162">
        <f t="shared" ref="C5:C27" si="6">+I37</f>
        <v>0.96052990654048831</v>
      </c>
      <c r="D5" s="162">
        <f t="shared" ref="D5:D27" si="7">+M37</f>
        <v>0.96035541759834864</v>
      </c>
      <c r="E5" s="461">
        <f t="shared" ref="E5:E27" si="8">+Q37</f>
        <v>0.99804861705354753</v>
      </c>
      <c r="F5" s="363">
        <f t="shared" ref="F5:F27" si="9">U37</f>
        <v>0.99805279425761573</v>
      </c>
      <c r="G5" s="162">
        <f t="shared" ref="G5:G27" si="10">Y37</f>
        <v>1</v>
      </c>
      <c r="H5" s="162">
        <f t="shared" ref="H5:H27" si="11">AC37</f>
        <v>1</v>
      </c>
      <c r="I5" s="162">
        <f t="shared" ref="I5:I32" si="12">AR37</f>
        <v>1</v>
      </c>
      <c r="J5" s="363">
        <f t="shared" ref="J5:J32" si="13">BB37</f>
        <v>1</v>
      </c>
      <c r="K5" s="316">
        <f t="shared" ref="K5:K27" si="14">AN37</f>
        <v>1</v>
      </c>
      <c r="L5" s="273">
        <f t="shared" ref="L5:L27" si="15">BH37</f>
        <v>1</v>
      </c>
      <c r="M5" s="273">
        <f t="shared" ref="M5:M32" si="16">BT37</f>
        <v>1</v>
      </c>
      <c r="N5" s="273">
        <f t="shared" ref="N5:N32" si="17">CF37</f>
        <v>1</v>
      </c>
      <c r="O5" s="322">
        <f>+(K5-H5)*100</f>
        <v>0</v>
      </c>
      <c r="P5" s="322">
        <f>+(L5-H5)*100</f>
        <v>0</v>
      </c>
      <c r="Q5" s="317">
        <f>+(M5-H5)*100</f>
        <v>0</v>
      </c>
      <c r="R5" s="322">
        <f t="shared" ref="R5:R31" si="18">+(N5-H5)*100</f>
        <v>0</v>
      </c>
      <c r="S5" s="151">
        <v>0.97</v>
      </c>
      <c r="T5" s="249">
        <v>0.97</v>
      </c>
      <c r="U5" s="496">
        <v>0</v>
      </c>
      <c r="V5" s="497">
        <v>0</v>
      </c>
      <c r="W5" s="151">
        <f>+T5+U5</f>
        <v>0.97</v>
      </c>
      <c r="X5" s="151">
        <f>+W5+V5</f>
        <v>0.97</v>
      </c>
      <c r="Y5" s="333">
        <f t="shared" si="0"/>
        <v>3.0000000000000027E-2</v>
      </c>
      <c r="Z5" s="328">
        <f t="shared" si="0"/>
        <v>3.0000000000000027E-2</v>
      </c>
      <c r="AA5" s="333">
        <f t="shared" si="1"/>
        <v>3.0000000000000027E-2</v>
      </c>
      <c r="AB5" s="333">
        <f t="shared" si="2"/>
        <v>3.0000000000000027E-2</v>
      </c>
      <c r="AC5" s="445">
        <f>AM37</f>
        <v>2214527.0100000002</v>
      </c>
      <c r="AD5" s="335">
        <f>BG37</f>
        <v>2259039.002901</v>
      </c>
      <c r="AE5" s="335">
        <f>BS37</f>
        <v>2304445.6868593101</v>
      </c>
      <c r="AF5" s="329">
        <f t="shared" ref="AF5:AF32" si="19">CE37</f>
        <v>2350765.0451651821</v>
      </c>
      <c r="AG5" s="337">
        <f t="shared" si="3"/>
        <v>2148091.1997000002</v>
      </c>
      <c r="AH5" s="337">
        <f t="shared" si="3"/>
        <v>2191267.8328139698</v>
      </c>
      <c r="AI5" s="337">
        <f t="shared" si="4"/>
        <v>2235312.3162535308</v>
      </c>
      <c r="AJ5" s="337">
        <f t="shared" si="4"/>
        <v>2280242.0938102268</v>
      </c>
      <c r="AM5" s="301"/>
    </row>
    <row r="6" spans="1:39" x14ac:dyDescent="0.35">
      <c r="A6" s="56" t="s">
        <v>73</v>
      </c>
      <c r="B6" s="162">
        <f t="shared" si="5"/>
        <v>0.6828121193828649</v>
      </c>
      <c r="C6" s="162">
        <f t="shared" si="6"/>
        <v>0.69643455820350231</v>
      </c>
      <c r="D6" s="162">
        <f t="shared" si="7"/>
        <v>0.68677734921265754</v>
      </c>
      <c r="E6" s="461">
        <f t="shared" si="8"/>
        <v>0.73166928012201815</v>
      </c>
      <c r="F6" s="363">
        <f t="shared" si="9"/>
        <v>0.77409513001685848</v>
      </c>
      <c r="G6" s="162">
        <f t="shared" si="10"/>
        <v>0.76554443730595045</v>
      </c>
      <c r="H6" s="162">
        <f t="shared" si="11"/>
        <v>0.7500769041063643</v>
      </c>
      <c r="I6" s="162">
        <f t="shared" si="12"/>
        <v>0.80417429578605626</v>
      </c>
      <c r="J6" s="363">
        <f t="shared" si="13"/>
        <v>0.80048502479502071</v>
      </c>
      <c r="K6" s="316">
        <f t="shared" si="14"/>
        <v>0.68695726986491468</v>
      </c>
      <c r="L6" s="273">
        <f t="shared" si="15"/>
        <v>0.67777312906422227</v>
      </c>
      <c r="M6" s="273">
        <f t="shared" si="16"/>
        <v>0.66831954120685966</v>
      </c>
      <c r="N6" s="273">
        <f t="shared" si="17"/>
        <v>0.65858860117487139</v>
      </c>
      <c r="O6" s="322">
        <f>+(K6-H6)*100</f>
        <v>-6.3119634241449614</v>
      </c>
      <c r="P6" s="322">
        <f>+(L6-H6)*100</f>
        <v>-7.2303775042142027</v>
      </c>
      <c r="Q6" s="317">
        <f>+(M6-H6)*100</f>
        <v>-8.1757362899504642</v>
      </c>
      <c r="R6" s="322">
        <f t="shared" si="18"/>
        <v>-9.14883029314929</v>
      </c>
      <c r="S6" s="151">
        <v>0.65</v>
      </c>
      <c r="T6" s="249">
        <v>0.6</v>
      </c>
      <c r="U6" s="496">
        <v>0</v>
      </c>
      <c r="V6" s="497">
        <v>0.01</v>
      </c>
      <c r="W6" s="151">
        <f t="shared" ref="W6:W28" si="20">+T6+U6</f>
        <v>0.6</v>
      </c>
      <c r="X6" s="151">
        <f t="shared" ref="X6:X8" si="21">+W6+V6</f>
        <v>0.61</v>
      </c>
      <c r="Y6" s="333">
        <f t="shared" si="0"/>
        <v>3.6957269864914655E-2</v>
      </c>
      <c r="Z6" s="328">
        <f t="shared" si="0"/>
        <v>7.7773129064222291E-2</v>
      </c>
      <c r="AA6" s="333">
        <f t="shared" si="1"/>
        <v>6.831954120685968E-2</v>
      </c>
      <c r="AB6" s="333">
        <f t="shared" si="2"/>
        <v>4.8588601174871404E-2</v>
      </c>
      <c r="AC6" s="445">
        <f>AM38</f>
        <v>18472713.190000001</v>
      </c>
      <c r="AD6" s="335">
        <f>BG38</f>
        <v>19597701.423271</v>
      </c>
      <c r="AE6" s="335">
        <f>BS38</f>
        <v>20791201.439948201</v>
      </c>
      <c r="AF6" s="329">
        <f t="shared" si="19"/>
        <v>22057385.607641049</v>
      </c>
      <c r="AG6" s="337">
        <f t="shared" si="3"/>
        <v>12007263.573500002</v>
      </c>
      <c r="AH6" s="337">
        <f t="shared" si="3"/>
        <v>11758620.8539626</v>
      </c>
      <c r="AI6" s="337">
        <f t="shared" si="4"/>
        <v>12474720.86396892</v>
      </c>
      <c r="AJ6" s="337">
        <f t="shared" si="4"/>
        <v>13455005.220661039</v>
      </c>
      <c r="AM6" s="301"/>
    </row>
    <row r="7" spans="1:39" x14ac:dyDescent="0.35">
      <c r="A7" s="56" t="s">
        <v>74</v>
      </c>
      <c r="B7" s="162">
        <f t="shared" si="5"/>
        <v>0.92637974235628184</v>
      </c>
      <c r="C7" s="162">
        <f t="shared" si="6"/>
        <v>0.92875208586102387</v>
      </c>
      <c r="D7" s="162">
        <f t="shared" si="7"/>
        <v>0.99429919543726886</v>
      </c>
      <c r="E7" s="461">
        <f t="shared" si="8"/>
        <v>1</v>
      </c>
      <c r="F7" s="363">
        <f t="shared" si="9"/>
        <v>1</v>
      </c>
      <c r="G7" s="162">
        <f t="shared" si="10"/>
        <v>1</v>
      </c>
      <c r="H7" s="162">
        <f t="shared" si="11"/>
        <v>0.99122977886407915</v>
      </c>
      <c r="I7" s="162">
        <f t="shared" si="12"/>
        <v>1</v>
      </c>
      <c r="J7" s="363">
        <f t="shared" si="13"/>
        <v>0.97770703706738249</v>
      </c>
      <c r="K7" s="316">
        <f t="shared" si="14"/>
        <v>0.98406569398323107</v>
      </c>
      <c r="L7" s="273">
        <f t="shared" si="15"/>
        <v>0.98390753806869358</v>
      </c>
      <c r="M7" s="273">
        <f t="shared" si="16"/>
        <v>0.98374781237802167</v>
      </c>
      <c r="N7" s="273">
        <f t="shared" si="17"/>
        <v>0.98358650133040615</v>
      </c>
      <c r="O7" s="322">
        <f>+(K7-H7)*100</f>
        <v>-0.71640848808480762</v>
      </c>
      <c r="P7" s="322">
        <f>+(L7-H7)*100</f>
        <v>-0.73222407953855706</v>
      </c>
      <c r="Q7" s="317">
        <f>+(M7-H7)*100</f>
        <v>-0.74819664860574786</v>
      </c>
      <c r="R7" s="322">
        <f t="shared" si="18"/>
        <v>-0.76432775336729986</v>
      </c>
      <c r="S7" s="151">
        <v>0.95</v>
      </c>
      <c r="T7" s="249">
        <v>0.92</v>
      </c>
      <c r="U7" s="496">
        <v>0</v>
      </c>
      <c r="V7" s="497">
        <v>0</v>
      </c>
      <c r="W7" s="151">
        <f t="shared" si="20"/>
        <v>0.92</v>
      </c>
      <c r="X7" s="151">
        <f t="shared" si="21"/>
        <v>0.92</v>
      </c>
      <c r="Y7" s="333">
        <f t="shared" si="0"/>
        <v>3.4065693983231116E-2</v>
      </c>
      <c r="Z7" s="328">
        <f t="shared" si="0"/>
        <v>6.3907538068693537E-2</v>
      </c>
      <c r="AA7" s="333">
        <f t="shared" si="1"/>
        <v>6.3747812378021629E-2</v>
      </c>
      <c r="AB7" s="333">
        <f t="shared" si="2"/>
        <v>6.3586501330406109E-2</v>
      </c>
      <c r="AC7" s="445">
        <f>AM39</f>
        <v>4562850.74</v>
      </c>
      <c r="AD7" s="335">
        <f>BG39</f>
        <v>4654564.0398739995</v>
      </c>
      <c r="AE7" s="335">
        <f>BS39</f>
        <v>4748120.7770754667</v>
      </c>
      <c r="AF7" s="329">
        <f t="shared" si="19"/>
        <v>4843558.0046946835</v>
      </c>
      <c r="AG7" s="337">
        <f t="shared" si="3"/>
        <v>4334708.2029999997</v>
      </c>
      <c r="AH7" s="337">
        <f t="shared" si="3"/>
        <v>4282198.9166840799</v>
      </c>
      <c r="AI7" s="337">
        <f t="shared" si="4"/>
        <v>4368271.1149094291</v>
      </c>
      <c r="AJ7" s="337">
        <f t="shared" si="4"/>
        <v>4456073.3643191094</v>
      </c>
      <c r="AM7" s="301"/>
    </row>
    <row r="8" spans="1:39" x14ac:dyDescent="0.35">
      <c r="A8" s="56" t="s">
        <v>75</v>
      </c>
      <c r="B8" s="162">
        <f t="shared" si="5"/>
        <v>0</v>
      </c>
      <c r="C8" s="162">
        <f t="shared" si="6"/>
        <v>0</v>
      </c>
      <c r="D8" s="162">
        <f t="shared" si="7"/>
        <v>0</v>
      </c>
      <c r="E8" s="461">
        <f t="shared" si="8"/>
        <v>0.96981969480421693</v>
      </c>
      <c r="F8" s="363">
        <f t="shared" si="9"/>
        <v>0.98555405019308573</v>
      </c>
      <c r="G8" s="162">
        <f t="shared" si="10"/>
        <v>0.98523987004327462</v>
      </c>
      <c r="H8" s="162">
        <f t="shared" si="11"/>
        <v>0.98314500512240577</v>
      </c>
      <c r="I8" s="162">
        <f t="shared" si="12"/>
        <v>0.97696459465435292</v>
      </c>
      <c r="J8" s="363">
        <f t="shared" si="13"/>
        <v>0.99030274912901228</v>
      </c>
      <c r="K8" s="316">
        <f t="shared" si="14"/>
        <v>0.98191197974141731</v>
      </c>
      <c r="L8" s="273">
        <f t="shared" si="15"/>
        <v>0.98138130801877765</v>
      </c>
      <c r="M8" s="273">
        <f t="shared" si="16"/>
        <v>0.9808350672911732</v>
      </c>
      <c r="N8" s="273">
        <f t="shared" si="17"/>
        <v>0.98027280079050183</v>
      </c>
      <c r="O8" s="322">
        <f>+(K8-H8)*100</f>
        <v>-0.12330253809884617</v>
      </c>
      <c r="P8" s="322">
        <f>+(L8-H8)*100</f>
        <v>-0.17636971036281146</v>
      </c>
      <c r="Q8" s="317">
        <f>+(M8-H8)*100</f>
        <v>-0.23099378312325669</v>
      </c>
      <c r="R8" s="322">
        <f t="shared" si="18"/>
        <v>-0.28722043319039381</v>
      </c>
      <c r="S8" s="151">
        <v>0.94</v>
      </c>
      <c r="T8" s="249">
        <v>0.94</v>
      </c>
      <c r="U8" s="496">
        <v>0</v>
      </c>
      <c r="V8" s="497">
        <v>0</v>
      </c>
      <c r="W8" s="151">
        <f t="shared" si="20"/>
        <v>0.94</v>
      </c>
      <c r="X8" s="151">
        <f t="shared" si="21"/>
        <v>0.94</v>
      </c>
      <c r="Y8" s="333">
        <f t="shared" si="0"/>
        <v>4.191197974141736E-2</v>
      </c>
      <c r="Z8" s="328">
        <f t="shared" si="0"/>
        <v>4.1381308018777707E-2</v>
      </c>
      <c r="AA8" s="333">
        <f t="shared" si="1"/>
        <v>4.0835067291173255E-2</v>
      </c>
      <c r="AB8" s="333">
        <f t="shared" si="2"/>
        <v>4.0272800790501884E-2</v>
      </c>
      <c r="AC8" s="445">
        <f>AM40</f>
        <v>1694077.05</v>
      </c>
      <c r="AD8" s="335">
        <f>BG40</f>
        <v>1797246.342345</v>
      </c>
      <c r="AE8" s="335">
        <f>BS40</f>
        <v>1906698.6445938102</v>
      </c>
      <c r="AF8" s="329">
        <f t="shared" si="19"/>
        <v>2022816.5920495735</v>
      </c>
      <c r="AG8" s="337">
        <f t="shared" si="3"/>
        <v>1592432.4269999999</v>
      </c>
      <c r="AH8" s="337">
        <f t="shared" si="3"/>
        <v>1689411.5618042999</v>
      </c>
      <c r="AI8" s="337">
        <f t="shared" si="4"/>
        <v>1792296.7259181815</v>
      </c>
      <c r="AJ8" s="337">
        <f t="shared" si="4"/>
        <v>1901447.596526599</v>
      </c>
      <c r="AM8" s="301"/>
    </row>
    <row r="9" spans="1:39" x14ac:dyDescent="0.35">
      <c r="A9" s="56" t="s">
        <v>76</v>
      </c>
      <c r="B9" s="162"/>
      <c r="C9" s="162"/>
      <c r="D9" s="162"/>
      <c r="E9" s="461"/>
      <c r="F9" s="363"/>
      <c r="G9" s="162"/>
      <c r="H9" s="162"/>
      <c r="I9" s="162">
        <f t="shared" si="12"/>
        <v>0</v>
      </c>
      <c r="J9" s="363">
        <f t="shared" si="13"/>
        <v>0</v>
      </c>
      <c r="K9" s="316"/>
      <c r="L9" s="273"/>
      <c r="M9" s="273"/>
      <c r="N9" s="273"/>
      <c r="O9" s="322"/>
      <c r="P9" s="322"/>
      <c r="Q9" s="317"/>
      <c r="R9" s="322">
        <f t="shared" si="18"/>
        <v>0</v>
      </c>
      <c r="S9" s="151"/>
      <c r="T9" s="475"/>
      <c r="U9" s="496"/>
      <c r="V9" s="498"/>
      <c r="W9" s="151"/>
      <c r="X9" s="151"/>
      <c r="Y9" s="333"/>
      <c r="Z9" s="328"/>
      <c r="AA9" s="333">
        <f t="shared" si="1"/>
        <v>0</v>
      </c>
      <c r="AB9" s="333">
        <f t="shared" si="2"/>
        <v>0</v>
      </c>
      <c r="AC9" s="446"/>
      <c r="AD9" s="333"/>
      <c r="AE9" s="335"/>
      <c r="AF9" s="329"/>
      <c r="AG9" s="333"/>
      <c r="AH9" s="333"/>
      <c r="AI9" s="337"/>
      <c r="AJ9" s="337"/>
      <c r="AM9" s="301"/>
    </row>
    <row r="10" spans="1:39" x14ac:dyDescent="0.35">
      <c r="A10" s="56" t="s">
        <v>77</v>
      </c>
      <c r="B10" s="162">
        <f t="shared" si="5"/>
        <v>1</v>
      </c>
      <c r="C10" s="162">
        <f t="shared" si="6"/>
        <v>1</v>
      </c>
      <c r="D10" s="162">
        <f t="shared" si="7"/>
        <v>0.98351103945799123</v>
      </c>
      <c r="E10" s="461">
        <f t="shared" si="8"/>
        <v>1</v>
      </c>
      <c r="F10" s="363">
        <f t="shared" si="9"/>
        <v>1</v>
      </c>
      <c r="G10" s="162">
        <f t="shared" si="10"/>
        <v>1</v>
      </c>
      <c r="H10" s="162">
        <f t="shared" si="11"/>
        <v>1</v>
      </c>
      <c r="I10" s="162">
        <f t="shared" si="12"/>
        <v>0.99248459878111139</v>
      </c>
      <c r="J10" s="363">
        <f t="shared" si="13"/>
        <v>0.99216237446470656</v>
      </c>
      <c r="K10" s="316">
        <f t="shared" si="14"/>
        <v>1</v>
      </c>
      <c r="L10" s="273">
        <f t="shared" si="15"/>
        <v>1</v>
      </c>
      <c r="M10" s="273">
        <f t="shared" si="16"/>
        <v>1</v>
      </c>
      <c r="N10" s="273">
        <f t="shared" si="17"/>
        <v>1</v>
      </c>
      <c r="O10" s="322">
        <f t="shared" ref="O10:O20" si="22">+(K10-H10)*100</f>
        <v>0</v>
      </c>
      <c r="P10" s="322">
        <f t="shared" ref="P10:P20" si="23">+(L10-H10)*100</f>
        <v>0</v>
      </c>
      <c r="Q10" s="317">
        <f t="shared" ref="Q10:Q20" si="24">+(M10-H10)*100</f>
        <v>0</v>
      </c>
      <c r="R10" s="322">
        <f t="shared" si="18"/>
        <v>0</v>
      </c>
      <c r="S10" s="151">
        <v>0.97</v>
      </c>
      <c r="T10" s="249">
        <v>0.97</v>
      </c>
      <c r="U10" s="496">
        <v>0</v>
      </c>
      <c r="V10" s="497">
        <v>0</v>
      </c>
      <c r="W10" s="151">
        <f t="shared" si="20"/>
        <v>0.97</v>
      </c>
      <c r="X10" s="151">
        <f t="shared" ref="X10:X20" si="25">+W10+V10</f>
        <v>0.97</v>
      </c>
      <c r="Y10" s="333">
        <f t="shared" ref="Y10:Y20" si="26">+K10-S10</f>
        <v>3.0000000000000027E-2</v>
      </c>
      <c r="Z10" s="328">
        <f t="shared" ref="Z10:Z20" si="27">+L10-T10</f>
        <v>3.0000000000000027E-2</v>
      </c>
      <c r="AA10" s="333">
        <f t="shared" si="1"/>
        <v>3.0000000000000027E-2</v>
      </c>
      <c r="AB10" s="333">
        <f t="shared" si="2"/>
        <v>3.0000000000000027E-2</v>
      </c>
      <c r="AC10" s="445">
        <f t="shared" ref="AC10:AC20" si="28">AM42</f>
        <v>1815942.53</v>
      </c>
      <c r="AD10" s="335">
        <f t="shared" ref="AD10:AD20" si="29">BG42</f>
        <v>1926533.4300770001</v>
      </c>
      <c r="AE10" s="335">
        <f t="shared" ref="AE10:AE20" si="30">BS42</f>
        <v>2043859.315968689</v>
      </c>
      <c r="AF10" s="329">
        <f t="shared" si="19"/>
        <v>2168330.3483111826</v>
      </c>
      <c r="AG10" s="337">
        <f t="shared" ref="AG10:AG20" si="31">AC10*S10</f>
        <v>1761464.2541</v>
      </c>
      <c r="AH10" s="337">
        <f t="shared" ref="AH10:AH20" si="32">AD10*T10</f>
        <v>1868737.4271746899</v>
      </c>
      <c r="AI10" s="337">
        <f t="shared" ref="AI10:AI20" si="33">AE10*W10</f>
        <v>1982543.5364896283</v>
      </c>
      <c r="AJ10" s="337">
        <f t="shared" ref="AJ10:AJ20" si="34">AF10*X10</f>
        <v>2103280.4378618472</v>
      </c>
      <c r="AM10" s="301"/>
    </row>
    <row r="11" spans="1:39" x14ac:dyDescent="0.35">
      <c r="A11" s="56" t="s">
        <v>78</v>
      </c>
      <c r="B11" s="162">
        <f t="shared" si="5"/>
        <v>0.75961773884917794</v>
      </c>
      <c r="C11" s="162">
        <f t="shared" si="6"/>
        <v>0.72567126870420773</v>
      </c>
      <c r="D11" s="162">
        <f t="shared" si="7"/>
        <v>0.71725653216139429</v>
      </c>
      <c r="E11" s="461">
        <f t="shared" si="8"/>
        <v>0.77449879934645893</v>
      </c>
      <c r="F11" s="363">
        <f t="shared" si="9"/>
        <v>0.79365746061210107</v>
      </c>
      <c r="G11" s="162">
        <f t="shared" si="10"/>
        <v>0.79262217221614528</v>
      </c>
      <c r="H11" s="162">
        <f t="shared" si="11"/>
        <v>0.79695206985971956</v>
      </c>
      <c r="I11" s="162">
        <f t="shared" si="12"/>
        <v>0.85036878225759915</v>
      </c>
      <c r="J11" s="363">
        <f t="shared" si="13"/>
        <v>0.81526913205545026</v>
      </c>
      <c r="K11" s="316">
        <f t="shared" si="14"/>
        <v>0.72946451728813166</v>
      </c>
      <c r="L11" s="273">
        <f t="shared" si="15"/>
        <v>0.72152746676555002</v>
      </c>
      <c r="M11" s="273">
        <f t="shared" si="16"/>
        <v>0.71335755669210088</v>
      </c>
      <c r="N11" s="273">
        <f t="shared" si="17"/>
        <v>0.70494795536496524</v>
      </c>
      <c r="O11" s="322">
        <f t="shared" si="22"/>
        <v>-6.7487552571587894</v>
      </c>
      <c r="P11" s="322">
        <f t="shared" si="23"/>
        <v>-7.5424603094169544</v>
      </c>
      <c r="Q11" s="317">
        <f t="shared" si="24"/>
        <v>-8.3594513167618683</v>
      </c>
      <c r="R11" s="322">
        <f t="shared" si="18"/>
        <v>-9.2004114494754319</v>
      </c>
      <c r="S11" s="151">
        <v>0.65</v>
      </c>
      <c r="T11" s="249">
        <v>0.65</v>
      </c>
      <c r="U11" s="496">
        <v>0</v>
      </c>
      <c r="V11" s="497">
        <v>-0.01</v>
      </c>
      <c r="W11" s="151">
        <f t="shared" si="20"/>
        <v>0.65</v>
      </c>
      <c r="X11" s="151">
        <f t="shared" si="25"/>
        <v>0.64</v>
      </c>
      <c r="Y11" s="333">
        <f t="shared" si="26"/>
        <v>7.9464517288131642E-2</v>
      </c>
      <c r="Z11" s="328">
        <f t="shared" si="27"/>
        <v>7.1527466765549996E-2</v>
      </c>
      <c r="AA11" s="333">
        <f t="shared" si="1"/>
        <v>6.3357556692100858E-2</v>
      </c>
      <c r="AB11" s="333">
        <f t="shared" si="2"/>
        <v>6.4947955364965226E-2</v>
      </c>
      <c r="AC11" s="445">
        <f t="shared" si="28"/>
        <v>93563181.200000003</v>
      </c>
      <c r="AD11" s="335">
        <f t="shared" si="29"/>
        <v>99261178.935080007</v>
      </c>
      <c r="AE11" s="335">
        <f t="shared" si="30"/>
        <v>105306184.73222636</v>
      </c>
      <c r="AF11" s="329">
        <f t="shared" si="19"/>
        <v>111719331.38241896</v>
      </c>
      <c r="AG11" s="337">
        <f t="shared" si="31"/>
        <v>60816067.780000001</v>
      </c>
      <c r="AH11" s="337">
        <f t="shared" si="32"/>
        <v>64519766.307802007</v>
      </c>
      <c r="AI11" s="337">
        <f t="shared" si="33"/>
        <v>68449020.075947136</v>
      </c>
      <c r="AJ11" s="337">
        <f t="shared" si="34"/>
        <v>71500372.084748134</v>
      </c>
    </row>
    <row r="12" spans="1:39" x14ac:dyDescent="0.35">
      <c r="A12" s="56" t="s">
        <v>79</v>
      </c>
      <c r="B12" s="162">
        <f t="shared" si="5"/>
        <v>0.84969337401048028</v>
      </c>
      <c r="C12" s="162">
        <f t="shared" si="6"/>
        <v>0.81093463000799293</v>
      </c>
      <c r="D12" s="162">
        <f t="shared" si="7"/>
        <v>0.87238957420897234</v>
      </c>
      <c r="E12" s="461">
        <f t="shared" si="8"/>
        <v>0.8835891673859495</v>
      </c>
      <c r="F12" s="363">
        <f t="shared" si="9"/>
        <v>0.89222527576592525</v>
      </c>
      <c r="G12" s="162">
        <f t="shared" si="10"/>
        <v>0.89024140961462828</v>
      </c>
      <c r="H12" s="162">
        <f t="shared" si="11"/>
        <v>0.92597577351954363</v>
      </c>
      <c r="I12" s="162">
        <f t="shared" si="12"/>
        <v>0.98459193604278439</v>
      </c>
      <c r="J12" s="363">
        <f t="shared" si="13"/>
        <v>0.92399907934020731</v>
      </c>
      <c r="K12" s="316">
        <f t="shared" si="14"/>
        <v>0.8714537496901329</v>
      </c>
      <c r="L12" s="273">
        <f t="shared" si="15"/>
        <v>0.8689208795139004</v>
      </c>
      <c r="M12" s="273">
        <f t="shared" si="16"/>
        <v>0.86633810176499138</v>
      </c>
      <c r="N12" s="273">
        <f t="shared" si="17"/>
        <v>0.86370443306658906</v>
      </c>
      <c r="O12" s="322">
        <f t="shared" si="22"/>
        <v>-5.4522023829410742</v>
      </c>
      <c r="P12" s="322">
        <f t="shared" si="23"/>
        <v>-5.7054894005643231</v>
      </c>
      <c r="Q12" s="317">
        <f t="shared" si="24"/>
        <v>-5.9637671754552262</v>
      </c>
      <c r="R12" s="322">
        <f t="shared" si="18"/>
        <v>-6.2271340452954576</v>
      </c>
      <c r="S12" s="151">
        <v>0.82</v>
      </c>
      <c r="T12" s="249">
        <v>0.82</v>
      </c>
      <c r="U12" s="496">
        <v>0</v>
      </c>
      <c r="V12" s="497">
        <v>-0.01</v>
      </c>
      <c r="W12" s="151">
        <f t="shared" si="20"/>
        <v>0.82</v>
      </c>
      <c r="X12" s="151">
        <f t="shared" si="25"/>
        <v>0.80999999999999994</v>
      </c>
      <c r="Y12" s="333">
        <f t="shared" si="26"/>
        <v>5.1453749690132944E-2</v>
      </c>
      <c r="Z12" s="328">
        <f t="shared" si="27"/>
        <v>4.892087951390045E-2</v>
      </c>
      <c r="AA12" s="333">
        <f t="shared" si="1"/>
        <v>4.6338101764991424E-2</v>
      </c>
      <c r="AB12" s="333">
        <f t="shared" si="2"/>
        <v>5.3704433066589119E-2</v>
      </c>
      <c r="AC12" s="445">
        <f t="shared" si="28"/>
        <v>7418746.6200000001</v>
      </c>
      <c r="AD12" s="335">
        <f t="shared" si="29"/>
        <v>7718463.9834479997</v>
      </c>
      <c r="AE12" s="335">
        <f t="shared" si="30"/>
        <v>8030289.9283792991</v>
      </c>
      <c r="AF12" s="329">
        <f t="shared" si="19"/>
        <v>8354713.6414858215</v>
      </c>
      <c r="AG12" s="337">
        <f t="shared" si="31"/>
        <v>6083372.2283999994</v>
      </c>
      <c r="AH12" s="337">
        <f t="shared" si="32"/>
        <v>6329140.4664273597</v>
      </c>
      <c r="AI12" s="337">
        <f t="shared" si="33"/>
        <v>6584837.7412710246</v>
      </c>
      <c r="AJ12" s="337">
        <f t="shared" si="34"/>
        <v>6767318.0496035153</v>
      </c>
    </row>
    <row r="13" spans="1:39" x14ac:dyDescent="0.35">
      <c r="A13" s="56" t="s">
        <v>80</v>
      </c>
      <c r="B13" s="162">
        <f t="shared" si="5"/>
        <v>0</v>
      </c>
      <c r="C13" s="162">
        <f t="shared" si="6"/>
        <v>0</v>
      </c>
      <c r="D13" s="162">
        <f t="shared" si="7"/>
        <v>0</v>
      </c>
      <c r="E13" s="461">
        <f t="shared" si="8"/>
        <v>0.99896224941196099</v>
      </c>
      <c r="F13" s="363">
        <f t="shared" si="9"/>
        <v>0.99946499484764095</v>
      </c>
      <c r="G13" s="162">
        <f t="shared" si="10"/>
        <v>1</v>
      </c>
      <c r="H13" s="162">
        <f t="shared" si="11"/>
        <v>1</v>
      </c>
      <c r="I13" s="162">
        <f t="shared" si="12"/>
        <v>1</v>
      </c>
      <c r="J13" s="363">
        <f t="shared" si="13"/>
        <v>1</v>
      </c>
      <c r="K13" s="316">
        <f t="shared" si="14"/>
        <v>1</v>
      </c>
      <c r="L13" s="273">
        <f t="shared" si="15"/>
        <v>1</v>
      </c>
      <c r="M13" s="273">
        <f t="shared" si="16"/>
        <v>1</v>
      </c>
      <c r="N13" s="273">
        <f t="shared" si="17"/>
        <v>1</v>
      </c>
      <c r="O13" s="322">
        <f t="shared" si="22"/>
        <v>0</v>
      </c>
      <c r="P13" s="322">
        <f t="shared" si="23"/>
        <v>0</v>
      </c>
      <c r="Q13" s="317">
        <f t="shared" si="24"/>
        <v>0</v>
      </c>
      <c r="R13" s="322">
        <f t="shared" si="18"/>
        <v>0</v>
      </c>
      <c r="S13" s="151">
        <v>0.97</v>
      </c>
      <c r="T13" s="249">
        <v>0.97</v>
      </c>
      <c r="U13" s="496">
        <v>0</v>
      </c>
      <c r="V13" s="497">
        <v>0</v>
      </c>
      <c r="W13" s="151">
        <f t="shared" si="20"/>
        <v>0.97</v>
      </c>
      <c r="X13" s="151">
        <f t="shared" si="25"/>
        <v>0.97</v>
      </c>
      <c r="Y13" s="333">
        <f t="shared" si="26"/>
        <v>3.0000000000000027E-2</v>
      </c>
      <c r="Z13" s="328">
        <f t="shared" si="27"/>
        <v>3.0000000000000027E-2</v>
      </c>
      <c r="AA13" s="333">
        <f t="shared" si="1"/>
        <v>3.0000000000000027E-2</v>
      </c>
      <c r="AB13" s="333">
        <f t="shared" si="2"/>
        <v>3.0000000000000027E-2</v>
      </c>
      <c r="AC13" s="445">
        <f t="shared" si="28"/>
        <v>2302559.2200000002</v>
      </c>
      <c r="AD13" s="335">
        <f t="shared" si="29"/>
        <v>2395582.6124879997</v>
      </c>
      <c r="AE13" s="335">
        <f t="shared" si="30"/>
        <v>2492364.1500325152</v>
      </c>
      <c r="AF13" s="329">
        <f t="shared" si="19"/>
        <v>2593055.6616938282</v>
      </c>
      <c r="AG13" s="337">
        <f t="shared" si="31"/>
        <v>2233482.4434000002</v>
      </c>
      <c r="AH13" s="337">
        <f t="shared" si="32"/>
        <v>2323715.1341133597</v>
      </c>
      <c r="AI13" s="337">
        <f t="shared" si="33"/>
        <v>2417593.2255315399</v>
      </c>
      <c r="AJ13" s="337">
        <f t="shared" si="34"/>
        <v>2515263.9918430131</v>
      </c>
    </row>
    <row r="14" spans="1:39" x14ac:dyDescent="0.35">
      <c r="A14" s="56" t="s">
        <v>81</v>
      </c>
      <c r="B14" s="162">
        <f t="shared" si="5"/>
        <v>0</v>
      </c>
      <c r="C14" s="162">
        <f t="shared" si="6"/>
        <v>0</v>
      </c>
      <c r="D14" s="162">
        <f t="shared" si="7"/>
        <v>0</v>
      </c>
      <c r="E14" s="461">
        <f t="shared" si="8"/>
        <v>0.87326854288476408</v>
      </c>
      <c r="F14" s="363">
        <f t="shared" si="9"/>
        <v>0.89540091216500628</v>
      </c>
      <c r="G14" s="162">
        <f t="shared" si="10"/>
        <v>0.91945859456635315</v>
      </c>
      <c r="H14" s="162">
        <f t="shared" si="11"/>
        <v>0.89915722625680694</v>
      </c>
      <c r="I14" s="162">
        <f t="shared" si="12"/>
        <v>0.95231972099465689</v>
      </c>
      <c r="J14" s="363">
        <f t="shared" si="13"/>
        <v>0.87840465977298043</v>
      </c>
      <c r="K14" s="316">
        <f t="shared" si="14"/>
        <v>0.89647305658248178</v>
      </c>
      <c r="L14" s="273">
        <f t="shared" si="15"/>
        <v>0.89443316582886856</v>
      </c>
      <c r="M14" s="273">
        <f t="shared" si="16"/>
        <v>0.89235308114941048</v>
      </c>
      <c r="N14" s="273">
        <f t="shared" si="17"/>
        <v>0.89023201056459977</v>
      </c>
      <c r="O14" s="322">
        <f t="shared" si="22"/>
        <v>-0.26841696743251653</v>
      </c>
      <c r="P14" s="322">
        <f t="shared" si="23"/>
        <v>-0.47240604279383813</v>
      </c>
      <c r="Q14" s="317">
        <f t="shared" si="24"/>
        <v>-0.68041451073964643</v>
      </c>
      <c r="R14" s="322">
        <f t="shared" si="18"/>
        <v>-0.89252156922071668</v>
      </c>
      <c r="S14" s="151">
        <v>0.85</v>
      </c>
      <c r="T14" s="249">
        <v>0.84</v>
      </c>
      <c r="U14" s="496">
        <v>0</v>
      </c>
      <c r="V14" s="497">
        <v>0</v>
      </c>
      <c r="W14" s="151">
        <f t="shared" si="20"/>
        <v>0.84</v>
      </c>
      <c r="X14" s="151">
        <f t="shared" si="25"/>
        <v>0.84</v>
      </c>
      <c r="Y14" s="333">
        <f t="shared" si="26"/>
        <v>4.6473056582481798E-2</v>
      </c>
      <c r="Z14" s="328">
        <f t="shared" si="27"/>
        <v>5.443316582886859E-2</v>
      </c>
      <c r="AA14" s="333">
        <f t="shared" si="1"/>
        <v>5.2353081149410507E-2</v>
      </c>
      <c r="AB14" s="333">
        <f t="shared" si="2"/>
        <v>5.0232010564599805E-2</v>
      </c>
      <c r="AC14" s="445">
        <f t="shared" si="28"/>
        <v>5510083.8600000003</v>
      </c>
      <c r="AD14" s="335">
        <f t="shared" si="29"/>
        <v>5732691.2479439992</v>
      </c>
      <c r="AE14" s="335">
        <f t="shared" si="30"/>
        <v>5964291.9743609373</v>
      </c>
      <c r="AF14" s="329">
        <f t="shared" si="19"/>
        <v>6205249.3701251186</v>
      </c>
      <c r="AG14" s="337">
        <f t="shared" si="31"/>
        <v>4683571.2810000004</v>
      </c>
      <c r="AH14" s="337">
        <f t="shared" si="32"/>
        <v>4815460.6482729595</v>
      </c>
      <c r="AI14" s="337">
        <f t="shared" si="33"/>
        <v>5010005.2584631871</v>
      </c>
      <c r="AJ14" s="337">
        <f t="shared" si="34"/>
        <v>5212409.4709050991</v>
      </c>
      <c r="AL14" s="458"/>
    </row>
    <row r="15" spans="1:39" x14ac:dyDescent="0.35">
      <c r="A15" s="56" t="s">
        <v>82</v>
      </c>
      <c r="B15" s="162">
        <f t="shared" si="5"/>
        <v>0.57846281898723351</v>
      </c>
      <c r="C15" s="162">
        <f t="shared" si="6"/>
        <v>0.55024432539903523</v>
      </c>
      <c r="D15" s="162">
        <f t="shared" si="7"/>
        <v>0.60905876305322437</v>
      </c>
      <c r="E15" s="461">
        <f t="shared" si="8"/>
        <v>0.62518842873916469</v>
      </c>
      <c r="F15" s="363">
        <f t="shared" si="9"/>
        <v>0.65023032829460525</v>
      </c>
      <c r="G15" s="162">
        <f t="shared" si="10"/>
        <v>0.66631707656206629</v>
      </c>
      <c r="H15" s="162">
        <f t="shared" si="11"/>
        <v>0.71400253517764123</v>
      </c>
      <c r="I15" s="162">
        <f t="shared" si="12"/>
        <v>0.86092812607681424</v>
      </c>
      <c r="J15" s="363">
        <f t="shared" si="13"/>
        <v>0.79038453809044129</v>
      </c>
      <c r="K15" s="316">
        <f t="shared" si="14"/>
        <v>0.6664549298461806</v>
      </c>
      <c r="L15" s="273">
        <f t="shared" si="15"/>
        <v>0.6566692852910504</v>
      </c>
      <c r="M15" s="273">
        <f t="shared" si="16"/>
        <v>0.64659654658305155</v>
      </c>
      <c r="N15" s="273">
        <f t="shared" si="17"/>
        <v>0.63622829086846744</v>
      </c>
      <c r="O15" s="322">
        <f t="shared" si="22"/>
        <v>-4.7547605331460634</v>
      </c>
      <c r="P15" s="322">
        <f t="shared" si="23"/>
        <v>-5.7333249886590831</v>
      </c>
      <c r="Q15" s="317">
        <f t="shared" si="24"/>
        <v>-6.7405988594589683</v>
      </c>
      <c r="R15" s="322">
        <f t="shared" si="18"/>
        <v>-7.777424430917379</v>
      </c>
      <c r="S15" s="151">
        <v>0.6</v>
      </c>
      <c r="T15" s="249">
        <v>0.6</v>
      </c>
      <c r="U15" s="496">
        <v>0</v>
      </c>
      <c r="V15" s="497">
        <v>-0.01</v>
      </c>
      <c r="W15" s="151">
        <f t="shared" si="20"/>
        <v>0.6</v>
      </c>
      <c r="X15" s="151">
        <f t="shared" si="25"/>
        <v>0.59</v>
      </c>
      <c r="Y15" s="333">
        <f t="shared" si="26"/>
        <v>6.6454929846180621E-2</v>
      </c>
      <c r="Z15" s="328">
        <f t="shared" si="27"/>
        <v>5.666928529105042E-2</v>
      </c>
      <c r="AA15" s="333">
        <f t="shared" si="1"/>
        <v>4.6596546583051568E-2</v>
      </c>
      <c r="AB15" s="333">
        <f t="shared" si="2"/>
        <v>4.622829086846747E-2</v>
      </c>
      <c r="AC15" s="445">
        <f t="shared" si="28"/>
        <v>99286667.689999998</v>
      </c>
      <c r="AD15" s="335">
        <f t="shared" si="29"/>
        <v>105333225.752321</v>
      </c>
      <c r="AE15" s="335">
        <f t="shared" si="30"/>
        <v>111748019.20063734</v>
      </c>
      <c r="AF15" s="329">
        <f t="shared" si="19"/>
        <v>118553473.56995617</v>
      </c>
      <c r="AG15" s="337">
        <f t="shared" si="31"/>
        <v>59572000.614</v>
      </c>
      <c r="AH15" s="337">
        <f t="shared" si="32"/>
        <v>63199935.451392598</v>
      </c>
      <c r="AI15" s="337">
        <f t="shared" si="33"/>
        <v>67048811.520382404</v>
      </c>
      <c r="AJ15" s="337">
        <f t="shared" si="34"/>
        <v>69946549.40627414</v>
      </c>
    </row>
    <row r="16" spans="1:39" x14ac:dyDescent="0.35">
      <c r="A16" s="56" t="s">
        <v>83</v>
      </c>
      <c r="B16" s="162">
        <f t="shared" si="5"/>
        <v>0.98298982180844729</v>
      </c>
      <c r="C16" s="162">
        <f t="shared" si="6"/>
        <v>1</v>
      </c>
      <c r="D16" s="162">
        <f t="shared" si="7"/>
        <v>1</v>
      </c>
      <c r="E16" s="461">
        <f t="shared" si="8"/>
        <v>1</v>
      </c>
      <c r="F16" s="363">
        <f t="shared" si="9"/>
        <v>1</v>
      </c>
      <c r="G16" s="162">
        <f t="shared" si="10"/>
        <v>1</v>
      </c>
      <c r="H16" s="162">
        <f t="shared" si="11"/>
        <v>0.99518136841796523</v>
      </c>
      <c r="I16" s="162">
        <f t="shared" si="12"/>
        <v>0.99779128358014713</v>
      </c>
      <c r="J16" s="363">
        <f t="shared" si="13"/>
        <v>0.99031318074006092</v>
      </c>
      <c r="K16" s="316">
        <f t="shared" si="14"/>
        <v>0.99518136841796512</v>
      </c>
      <c r="L16" s="273">
        <f t="shared" si="15"/>
        <v>0.99513354110224306</v>
      </c>
      <c r="M16" s="273">
        <f t="shared" si="16"/>
        <v>0.99508523907661839</v>
      </c>
      <c r="N16" s="273">
        <f t="shared" si="17"/>
        <v>0.99503645762935899</v>
      </c>
      <c r="O16" s="322">
        <f t="shared" si="22"/>
        <v>-1.1102230246251565E-14</v>
      </c>
      <c r="P16" s="322">
        <f t="shared" si="23"/>
        <v>-4.7827315722170916E-3</v>
      </c>
      <c r="Q16" s="317">
        <f t="shared" si="24"/>
        <v>-9.6129341346840036E-3</v>
      </c>
      <c r="R16" s="322">
        <f t="shared" si="18"/>
        <v>-1.4491078860623396E-2</v>
      </c>
      <c r="S16" s="151">
        <v>0.97</v>
      </c>
      <c r="T16" s="249">
        <v>0.97</v>
      </c>
      <c r="U16" s="496">
        <v>0</v>
      </c>
      <c r="V16" s="497">
        <v>0</v>
      </c>
      <c r="W16" s="151">
        <f t="shared" si="20"/>
        <v>0.97</v>
      </c>
      <c r="X16" s="151">
        <f t="shared" si="25"/>
        <v>0.97</v>
      </c>
      <c r="Y16" s="333">
        <f t="shared" si="26"/>
        <v>2.5181368417965144E-2</v>
      </c>
      <c r="Z16" s="328">
        <f t="shared" si="27"/>
        <v>2.5133541102243084E-2</v>
      </c>
      <c r="AA16" s="333">
        <f t="shared" si="1"/>
        <v>2.5085239076618415E-2</v>
      </c>
      <c r="AB16" s="333">
        <f t="shared" si="2"/>
        <v>2.5036457629359021E-2</v>
      </c>
      <c r="AC16" s="445">
        <f t="shared" si="28"/>
        <v>6439425.6900000004</v>
      </c>
      <c r="AD16" s="335">
        <f t="shared" si="29"/>
        <v>6568858.146368999</v>
      </c>
      <c r="AE16" s="335">
        <f t="shared" si="30"/>
        <v>6700892.1951110167</v>
      </c>
      <c r="AF16" s="329">
        <f t="shared" si="19"/>
        <v>6835580.1282327473</v>
      </c>
      <c r="AG16" s="337">
        <f t="shared" si="31"/>
        <v>6246242.9193000002</v>
      </c>
      <c r="AH16" s="337">
        <f t="shared" si="32"/>
        <v>6371792.4019779293</v>
      </c>
      <c r="AI16" s="337">
        <f t="shared" si="33"/>
        <v>6499865.4292576862</v>
      </c>
      <c r="AJ16" s="337">
        <f t="shared" si="34"/>
        <v>6630512.7243857644</v>
      </c>
    </row>
    <row r="17" spans="1:67" x14ac:dyDescent="0.35">
      <c r="A17" s="56" t="s">
        <v>84</v>
      </c>
      <c r="B17" s="162">
        <f t="shared" si="5"/>
        <v>0.98382401781680773</v>
      </c>
      <c r="C17" s="162">
        <f t="shared" si="6"/>
        <v>0.98149806361806846</v>
      </c>
      <c r="D17" s="162">
        <f t="shared" si="7"/>
        <v>0.98149898527220825</v>
      </c>
      <c r="E17" s="461">
        <f t="shared" si="8"/>
        <v>0.9372827627784921</v>
      </c>
      <c r="F17" s="363">
        <f t="shared" si="9"/>
        <v>0.939779712827295</v>
      </c>
      <c r="G17" s="162">
        <f t="shared" si="10"/>
        <v>0.95369654990565655</v>
      </c>
      <c r="H17" s="162">
        <f t="shared" si="11"/>
        <v>0.95529562941564639</v>
      </c>
      <c r="I17" s="162">
        <f t="shared" si="12"/>
        <v>0.96520518113709275</v>
      </c>
      <c r="J17" s="363">
        <f t="shared" si="13"/>
        <v>0.98675343421546624</v>
      </c>
      <c r="K17" s="316">
        <f t="shared" si="14"/>
        <v>0.93756722049315311</v>
      </c>
      <c r="L17" s="273">
        <f t="shared" si="15"/>
        <v>0.93694754409622449</v>
      </c>
      <c r="M17" s="273">
        <f t="shared" si="16"/>
        <v>0.93632171710276735</v>
      </c>
      <c r="N17" s="273">
        <f t="shared" si="17"/>
        <v>0.93568967846505102</v>
      </c>
      <c r="O17" s="322">
        <f t="shared" si="22"/>
        <v>-1.7728408922493277</v>
      </c>
      <c r="P17" s="322">
        <f t="shared" si="23"/>
        <v>-1.8348085319421892</v>
      </c>
      <c r="Q17" s="317">
        <f t="shared" si="24"/>
        <v>-1.8973912312879038</v>
      </c>
      <c r="R17" s="322">
        <f t="shared" si="18"/>
        <v>-1.9605950950595363</v>
      </c>
      <c r="S17" s="151">
        <v>0.9</v>
      </c>
      <c r="T17" s="249">
        <v>0.9</v>
      </c>
      <c r="U17" s="496">
        <v>0</v>
      </c>
      <c r="V17" s="497">
        <v>0</v>
      </c>
      <c r="W17" s="151">
        <f t="shared" si="20"/>
        <v>0.9</v>
      </c>
      <c r="X17" s="151">
        <f t="shared" si="25"/>
        <v>0.9</v>
      </c>
      <c r="Y17" s="333">
        <f t="shared" si="26"/>
        <v>3.7567220493153086E-2</v>
      </c>
      <c r="Z17" s="328">
        <f t="shared" si="27"/>
        <v>3.6947544096224472E-2</v>
      </c>
      <c r="AA17" s="333">
        <f t="shared" si="1"/>
        <v>3.6321717102767326E-2</v>
      </c>
      <c r="AB17" s="333">
        <f t="shared" si="2"/>
        <v>3.5689678465051E-2</v>
      </c>
      <c r="AC17" s="445">
        <f t="shared" si="28"/>
        <v>1219856.79</v>
      </c>
      <c r="AD17" s="335">
        <f t="shared" si="29"/>
        <v>1244375.911479</v>
      </c>
      <c r="AE17" s="335">
        <f t="shared" si="30"/>
        <v>1269387.8672997279</v>
      </c>
      <c r="AF17" s="329">
        <f t="shared" si="19"/>
        <v>1294902.5634324523</v>
      </c>
      <c r="AG17" s="337">
        <f t="shared" si="31"/>
        <v>1097871.111</v>
      </c>
      <c r="AH17" s="337">
        <f t="shared" si="32"/>
        <v>1119938.3203311001</v>
      </c>
      <c r="AI17" s="337">
        <f t="shared" si="33"/>
        <v>1142449.0805697551</v>
      </c>
      <c r="AJ17" s="337">
        <f t="shared" si="34"/>
        <v>1165412.307089207</v>
      </c>
    </row>
    <row r="18" spans="1:67" x14ac:dyDescent="0.35">
      <c r="A18" s="56" t="s">
        <v>85</v>
      </c>
      <c r="B18" s="162">
        <f t="shared" si="5"/>
        <v>1</v>
      </c>
      <c r="C18" s="162">
        <f t="shared" si="6"/>
        <v>1</v>
      </c>
      <c r="D18" s="162">
        <f t="shared" si="7"/>
        <v>1</v>
      </c>
      <c r="E18" s="461">
        <f t="shared" si="8"/>
        <v>1</v>
      </c>
      <c r="F18" s="363">
        <f t="shared" si="9"/>
        <v>1</v>
      </c>
      <c r="G18" s="162">
        <f t="shared" si="10"/>
        <v>1</v>
      </c>
      <c r="H18" s="162">
        <f t="shared" si="11"/>
        <v>1</v>
      </c>
      <c r="I18" s="162">
        <f t="shared" si="12"/>
        <v>1</v>
      </c>
      <c r="J18" s="363">
        <f t="shared" si="13"/>
        <v>1</v>
      </c>
      <c r="K18" s="316">
        <f t="shared" si="14"/>
        <v>1</v>
      </c>
      <c r="L18" s="273">
        <f t="shared" si="15"/>
        <v>1</v>
      </c>
      <c r="M18" s="273">
        <f t="shared" si="16"/>
        <v>1</v>
      </c>
      <c r="N18" s="273">
        <f t="shared" si="17"/>
        <v>1</v>
      </c>
      <c r="O18" s="322">
        <f t="shared" si="22"/>
        <v>0</v>
      </c>
      <c r="P18" s="322">
        <f t="shared" si="23"/>
        <v>0</v>
      </c>
      <c r="Q18" s="317">
        <f t="shared" si="24"/>
        <v>0</v>
      </c>
      <c r="R18" s="322">
        <f t="shared" si="18"/>
        <v>0</v>
      </c>
      <c r="S18" s="151">
        <v>0.97</v>
      </c>
      <c r="T18" s="249">
        <v>0.97</v>
      </c>
      <c r="U18" s="496">
        <v>0</v>
      </c>
      <c r="V18" s="497">
        <v>0</v>
      </c>
      <c r="W18" s="151">
        <f t="shared" si="20"/>
        <v>0.97</v>
      </c>
      <c r="X18" s="151">
        <f t="shared" si="25"/>
        <v>0.97</v>
      </c>
      <c r="Y18" s="333">
        <f t="shared" si="26"/>
        <v>3.0000000000000027E-2</v>
      </c>
      <c r="Z18" s="328">
        <f t="shared" si="27"/>
        <v>3.0000000000000027E-2</v>
      </c>
      <c r="AA18" s="333">
        <f t="shared" si="1"/>
        <v>3.0000000000000027E-2</v>
      </c>
      <c r="AB18" s="333">
        <f t="shared" si="2"/>
        <v>3.0000000000000027E-2</v>
      </c>
      <c r="AC18" s="445">
        <f t="shared" si="28"/>
        <v>647073.67000000004</v>
      </c>
      <c r="AD18" s="335">
        <f t="shared" si="29"/>
        <v>660079.850767</v>
      </c>
      <c r="AE18" s="335">
        <f t="shared" si="30"/>
        <v>673347.45576741663</v>
      </c>
      <c r="AF18" s="329">
        <f t="shared" si="19"/>
        <v>686881.73962834163</v>
      </c>
      <c r="AG18" s="337">
        <f t="shared" si="31"/>
        <v>627661.45990000002</v>
      </c>
      <c r="AH18" s="337">
        <f t="shared" si="32"/>
        <v>640277.45524398994</v>
      </c>
      <c r="AI18" s="337">
        <f t="shared" si="33"/>
        <v>653147.03209439409</v>
      </c>
      <c r="AJ18" s="337">
        <f t="shared" si="34"/>
        <v>666275.28743949137</v>
      </c>
    </row>
    <row r="19" spans="1:67" x14ac:dyDescent="0.35">
      <c r="A19" s="56" t="s">
        <v>86</v>
      </c>
      <c r="B19" s="162">
        <f t="shared" si="5"/>
        <v>1</v>
      </c>
      <c r="C19" s="162">
        <f t="shared" si="6"/>
        <v>1</v>
      </c>
      <c r="D19" s="162">
        <f t="shared" si="7"/>
        <v>1</v>
      </c>
      <c r="E19" s="461">
        <f t="shared" si="8"/>
        <v>1</v>
      </c>
      <c r="F19" s="363">
        <f t="shared" si="9"/>
        <v>1</v>
      </c>
      <c r="G19" s="162">
        <f t="shared" si="10"/>
        <v>1</v>
      </c>
      <c r="H19" s="162">
        <f t="shared" si="11"/>
        <v>0.99997693886493089</v>
      </c>
      <c r="I19" s="162">
        <f t="shared" si="12"/>
        <v>1</v>
      </c>
      <c r="J19" s="363">
        <f t="shared" si="13"/>
        <v>1</v>
      </c>
      <c r="K19" s="316">
        <f t="shared" si="14"/>
        <v>0.99996829093927997</v>
      </c>
      <c r="L19" s="273">
        <f t="shared" si="15"/>
        <v>0.99996766614521537</v>
      </c>
      <c r="M19" s="273">
        <f t="shared" si="16"/>
        <v>0.9999670290402336</v>
      </c>
      <c r="N19" s="273">
        <f t="shared" si="17"/>
        <v>0.99996637938176058</v>
      </c>
      <c r="O19" s="322">
        <f t="shared" si="22"/>
        <v>-8.6479256509175428E-4</v>
      </c>
      <c r="P19" s="322">
        <f t="shared" si="23"/>
        <v>-9.2727197155140217E-4</v>
      </c>
      <c r="Q19" s="317">
        <f t="shared" si="24"/>
        <v>-9.9098246972850745E-4</v>
      </c>
      <c r="R19" s="322">
        <f t="shared" si="18"/>
        <v>-1.0559483170302641E-3</v>
      </c>
      <c r="S19" s="151">
        <v>0.97</v>
      </c>
      <c r="T19" s="249">
        <v>0.97</v>
      </c>
      <c r="U19" s="496">
        <v>0</v>
      </c>
      <c r="V19" s="497">
        <v>0</v>
      </c>
      <c r="W19" s="151">
        <f t="shared" si="20"/>
        <v>0.97</v>
      </c>
      <c r="X19" s="151">
        <f t="shared" si="25"/>
        <v>0.97</v>
      </c>
      <c r="Y19" s="333">
        <f t="shared" si="26"/>
        <v>2.9968290939279996E-2</v>
      </c>
      <c r="Z19" s="328">
        <f t="shared" si="27"/>
        <v>2.9967666145215399E-2</v>
      </c>
      <c r="AA19" s="333">
        <f t="shared" si="1"/>
        <v>2.9967029040233628E-2</v>
      </c>
      <c r="AB19" s="333">
        <f t="shared" si="2"/>
        <v>2.9966379381760611E-2</v>
      </c>
      <c r="AC19" s="445">
        <f t="shared" si="28"/>
        <v>707684.16</v>
      </c>
      <c r="AD19" s="335">
        <f t="shared" si="29"/>
        <v>736274.600064</v>
      </c>
      <c r="AE19" s="335">
        <f t="shared" si="30"/>
        <v>766020.09390658559</v>
      </c>
      <c r="AF19" s="329">
        <f t="shared" si="19"/>
        <v>796967.30570041155</v>
      </c>
      <c r="AG19" s="337">
        <f t="shared" si="31"/>
        <v>686453.63520000002</v>
      </c>
      <c r="AH19" s="337">
        <f t="shared" si="32"/>
        <v>714186.36206207995</v>
      </c>
      <c r="AI19" s="337">
        <f t="shared" si="33"/>
        <v>743039.49108938803</v>
      </c>
      <c r="AJ19" s="337">
        <f t="shared" si="34"/>
        <v>773058.28652939922</v>
      </c>
    </row>
    <row r="20" spans="1:67" x14ac:dyDescent="0.35">
      <c r="A20" s="56" t="s">
        <v>87</v>
      </c>
      <c r="B20" s="162">
        <f t="shared" si="5"/>
        <v>0.97757551172184343</v>
      </c>
      <c r="C20" s="162">
        <f t="shared" si="6"/>
        <v>0.98874227118310221</v>
      </c>
      <c r="D20" s="162">
        <f t="shared" si="7"/>
        <v>0.99647043874326657</v>
      </c>
      <c r="E20" s="461">
        <f t="shared" si="8"/>
        <v>1</v>
      </c>
      <c r="F20" s="363">
        <f t="shared" si="9"/>
        <v>1</v>
      </c>
      <c r="G20" s="162">
        <f t="shared" si="10"/>
        <v>0.85670460619373168</v>
      </c>
      <c r="H20" s="162">
        <f t="shared" si="11"/>
        <v>0.91901001495097434</v>
      </c>
      <c r="I20" s="162">
        <f t="shared" si="12"/>
        <v>1</v>
      </c>
      <c r="J20" s="363">
        <f t="shared" si="13"/>
        <v>1</v>
      </c>
      <c r="K20" s="316">
        <f t="shared" si="14"/>
        <v>0.90491819274107088</v>
      </c>
      <c r="L20" s="273">
        <f t="shared" si="15"/>
        <v>0.90304470461265107</v>
      </c>
      <c r="M20" s="273">
        <f t="shared" si="16"/>
        <v>0.90113430134905947</v>
      </c>
      <c r="N20" s="273">
        <f t="shared" si="17"/>
        <v>0.89918625557594878</v>
      </c>
      <c r="O20" s="322">
        <f t="shared" si="22"/>
        <v>-1.409182220990346</v>
      </c>
      <c r="P20" s="322">
        <f t="shared" si="23"/>
        <v>-1.5965310338323269</v>
      </c>
      <c r="Q20" s="317">
        <f t="shared" si="24"/>
        <v>-1.7875713601914867</v>
      </c>
      <c r="R20" s="322">
        <f t="shared" si="18"/>
        <v>-1.9823759375025563</v>
      </c>
      <c r="S20" s="151">
        <v>0.85</v>
      </c>
      <c r="T20" s="249">
        <v>0.85</v>
      </c>
      <c r="U20" s="496">
        <v>0</v>
      </c>
      <c r="V20" s="497">
        <v>0</v>
      </c>
      <c r="W20" s="151">
        <f t="shared" si="20"/>
        <v>0.85</v>
      </c>
      <c r="X20" s="151">
        <f t="shared" si="25"/>
        <v>0.85</v>
      </c>
      <c r="Y20" s="333">
        <f t="shared" si="26"/>
        <v>5.4918192741070904E-2</v>
      </c>
      <c r="Z20" s="328">
        <f t="shared" si="27"/>
        <v>5.3044704612651095E-2</v>
      </c>
      <c r="AA20" s="333">
        <f t="shared" si="1"/>
        <v>5.1134301349059497E-2</v>
      </c>
      <c r="AB20" s="333">
        <f t="shared" si="2"/>
        <v>4.9186255575948801E-2</v>
      </c>
      <c r="AC20" s="445">
        <f t="shared" si="28"/>
        <v>2362561.7400000002</v>
      </c>
      <c r="AD20" s="335">
        <f t="shared" si="29"/>
        <v>2458009.2342959996</v>
      </c>
      <c r="AE20" s="335">
        <f t="shared" si="30"/>
        <v>2557312.8073615585</v>
      </c>
      <c r="AF20" s="329">
        <f t="shared" si="19"/>
        <v>2660628.2447789651</v>
      </c>
      <c r="AG20" s="337">
        <f t="shared" si="31"/>
        <v>2008177.4790000001</v>
      </c>
      <c r="AH20" s="337">
        <f t="shared" si="32"/>
        <v>2089307.8491515997</v>
      </c>
      <c r="AI20" s="337">
        <f t="shared" si="33"/>
        <v>2173715.8862573248</v>
      </c>
      <c r="AJ20" s="337">
        <f t="shared" si="34"/>
        <v>2261534.0080621205</v>
      </c>
    </row>
    <row r="21" spans="1:67" x14ac:dyDescent="0.35">
      <c r="A21" s="56" t="s">
        <v>88</v>
      </c>
      <c r="B21" s="162"/>
      <c r="C21" s="162"/>
      <c r="D21" s="162"/>
      <c r="E21" s="461"/>
      <c r="F21" s="363"/>
      <c r="G21" s="162"/>
      <c r="H21" s="162"/>
      <c r="I21" s="162">
        <f t="shared" si="12"/>
        <v>0</v>
      </c>
      <c r="J21" s="363">
        <f t="shared" si="13"/>
        <v>0</v>
      </c>
      <c r="K21" s="316"/>
      <c r="L21" s="273"/>
      <c r="M21" s="273"/>
      <c r="N21" s="273"/>
      <c r="O21" s="322"/>
      <c r="P21" s="322"/>
      <c r="Q21" s="317"/>
      <c r="R21" s="322">
        <f t="shared" si="18"/>
        <v>0</v>
      </c>
      <c r="S21" s="151"/>
      <c r="T21" s="475"/>
      <c r="U21" s="496"/>
      <c r="V21" s="498"/>
      <c r="W21" s="151"/>
      <c r="X21" s="151"/>
      <c r="Y21" s="333"/>
      <c r="Z21" s="328"/>
      <c r="AA21" s="333">
        <f t="shared" si="1"/>
        <v>0</v>
      </c>
      <c r="AB21" s="333">
        <f t="shared" si="2"/>
        <v>0</v>
      </c>
      <c r="AC21" s="446"/>
      <c r="AD21" s="333"/>
      <c r="AE21" s="335"/>
      <c r="AF21" s="329"/>
      <c r="AG21" s="333"/>
      <c r="AH21" s="333"/>
      <c r="AI21" s="337"/>
      <c r="AJ21" s="337"/>
    </row>
    <row r="22" spans="1:67" x14ac:dyDescent="0.35">
      <c r="A22" s="56" t="s">
        <v>89</v>
      </c>
      <c r="B22" s="162">
        <f t="shared" si="5"/>
        <v>0.79923484404642042</v>
      </c>
      <c r="C22" s="162">
        <f t="shared" si="6"/>
        <v>0.82003157704768825</v>
      </c>
      <c r="D22" s="162">
        <f t="shared" si="7"/>
        <v>0.78198870077475857</v>
      </c>
      <c r="E22" s="461">
        <f t="shared" si="8"/>
        <v>0.80112914750760655</v>
      </c>
      <c r="F22" s="363">
        <f t="shared" si="9"/>
        <v>0.82309453369760499</v>
      </c>
      <c r="G22" s="162">
        <f t="shared" si="10"/>
        <v>0.77726985234836521</v>
      </c>
      <c r="H22" s="162">
        <f t="shared" si="11"/>
        <v>0.77752693862075684</v>
      </c>
      <c r="I22" s="162">
        <f t="shared" si="12"/>
        <v>0.94497073869483683</v>
      </c>
      <c r="J22" s="363">
        <f t="shared" si="13"/>
        <v>0.83538277850200438</v>
      </c>
      <c r="K22" s="316">
        <f t="shared" si="14"/>
        <v>0.73897052752846404</v>
      </c>
      <c r="L22" s="273">
        <f t="shared" si="15"/>
        <v>0.73131236716398429</v>
      </c>
      <c r="M22" s="273">
        <f t="shared" si="16"/>
        <v>0.72342952941111316</v>
      </c>
      <c r="N22" s="273">
        <f t="shared" si="17"/>
        <v>0.71531542261774994</v>
      </c>
      <c r="O22" s="322">
        <f>+(K22-H22)*100</f>
        <v>-3.8556411092292797</v>
      </c>
      <c r="P22" s="322">
        <f>+(L22-H22)*100</f>
        <v>-4.6214571456772546</v>
      </c>
      <c r="Q22" s="317">
        <f>+(M22-H22)*100</f>
        <v>-5.4097409209643672</v>
      </c>
      <c r="R22" s="322">
        <f t="shared" si="18"/>
        <v>-6.2211516003006899</v>
      </c>
      <c r="S22" s="151">
        <v>0.7</v>
      </c>
      <c r="T22" s="249">
        <v>0.65</v>
      </c>
      <c r="U22" s="496">
        <v>0</v>
      </c>
      <c r="V22" s="497">
        <v>-0.01</v>
      </c>
      <c r="W22" s="151">
        <f t="shared" si="20"/>
        <v>0.65</v>
      </c>
      <c r="X22" s="151">
        <f>+W22+V22</f>
        <v>0.64</v>
      </c>
      <c r="Y22" s="333">
        <f>+K22-S22</f>
        <v>3.8970527528464083E-2</v>
      </c>
      <c r="Z22" s="328">
        <f>+L22-T22</f>
        <v>8.1312367163984267E-2</v>
      </c>
      <c r="AA22" s="333">
        <f t="shared" si="1"/>
        <v>7.3429529411113137E-2</v>
      </c>
      <c r="AB22" s="333">
        <f t="shared" si="2"/>
        <v>7.5315422617749928E-2</v>
      </c>
      <c r="AC22" s="445">
        <f>AM54</f>
        <v>35617782.130000003</v>
      </c>
      <c r="AD22" s="335">
        <f>BG54</f>
        <v>37786905.061717004</v>
      </c>
      <c r="AE22" s="335">
        <f>BS54</f>
        <v>40088127.57997556</v>
      </c>
      <c r="AF22" s="329">
        <f t="shared" si="19"/>
        <v>42529494.549596079</v>
      </c>
      <c r="AG22" s="337">
        <f>AC22*S22</f>
        <v>24932447.491</v>
      </c>
      <c r="AH22" s="337">
        <f>AD22*T22</f>
        <v>24561488.290116053</v>
      </c>
      <c r="AI22" s="337">
        <f>AE22*W22</f>
        <v>26057282.926984116</v>
      </c>
      <c r="AJ22" s="337">
        <f>AF22*X22</f>
        <v>27218876.511741489</v>
      </c>
    </row>
    <row r="23" spans="1:67" x14ac:dyDescent="0.35">
      <c r="A23" s="56" t="s">
        <v>90</v>
      </c>
      <c r="B23" s="162"/>
      <c r="C23" s="162"/>
      <c r="D23" s="162"/>
      <c r="E23" s="461"/>
      <c r="F23" s="363"/>
      <c r="G23" s="162"/>
      <c r="H23" s="162"/>
      <c r="I23" s="162">
        <f t="shared" si="12"/>
        <v>0</v>
      </c>
      <c r="J23" s="363">
        <f t="shared" si="13"/>
        <v>0</v>
      </c>
      <c r="K23" s="316"/>
      <c r="L23" s="273"/>
      <c r="M23" s="273"/>
      <c r="N23" s="273"/>
      <c r="O23" s="322"/>
      <c r="P23" s="322"/>
      <c r="Q23" s="317"/>
      <c r="R23" s="322">
        <f t="shared" si="18"/>
        <v>0</v>
      </c>
      <c r="S23" s="151"/>
      <c r="T23" s="475"/>
      <c r="U23" s="496"/>
      <c r="V23" s="498"/>
      <c r="W23" s="151"/>
      <c r="X23" s="151"/>
      <c r="Y23" s="333"/>
      <c r="Z23" s="328"/>
      <c r="AA23" s="333">
        <f t="shared" si="1"/>
        <v>0</v>
      </c>
      <c r="AB23" s="333">
        <f t="shared" si="2"/>
        <v>0</v>
      </c>
      <c r="AC23" s="446"/>
      <c r="AD23" s="333"/>
      <c r="AE23" s="335"/>
      <c r="AF23" s="329"/>
      <c r="AG23" s="333"/>
      <c r="AH23" s="333"/>
      <c r="AI23" s="337"/>
      <c r="AJ23" s="337"/>
    </row>
    <row r="24" spans="1:67" x14ac:dyDescent="0.35">
      <c r="A24" s="56" t="s">
        <v>91</v>
      </c>
      <c r="B24" s="162">
        <f t="shared" si="5"/>
        <v>1</v>
      </c>
      <c r="C24" s="162">
        <f t="shared" si="6"/>
        <v>1</v>
      </c>
      <c r="D24" s="162">
        <f t="shared" si="7"/>
        <v>1</v>
      </c>
      <c r="E24" s="461">
        <f t="shared" si="8"/>
        <v>1</v>
      </c>
      <c r="F24" s="363">
        <f t="shared" si="9"/>
        <v>1</v>
      </c>
      <c r="G24" s="162">
        <f t="shared" si="10"/>
        <v>1</v>
      </c>
      <c r="H24" s="162">
        <f t="shared" si="11"/>
        <v>1</v>
      </c>
      <c r="I24" s="162">
        <f t="shared" si="12"/>
        <v>1</v>
      </c>
      <c r="J24" s="363">
        <f t="shared" si="13"/>
        <v>1</v>
      </c>
      <c r="K24" s="316">
        <f t="shared" si="14"/>
        <v>1</v>
      </c>
      <c r="L24" s="273">
        <f t="shared" si="15"/>
        <v>1</v>
      </c>
      <c r="M24" s="273">
        <f t="shared" si="16"/>
        <v>1</v>
      </c>
      <c r="N24" s="273">
        <f t="shared" si="17"/>
        <v>1</v>
      </c>
      <c r="O24" s="322">
        <f>+(K24-H24)*100</f>
        <v>0</v>
      </c>
      <c r="P24" s="322">
        <f>+(L24-H24)*100</f>
        <v>0</v>
      </c>
      <c r="Q24" s="317">
        <f>+(M24-H24)*100</f>
        <v>0</v>
      </c>
      <c r="R24" s="322">
        <f t="shared" si="18"/>
        <v>0</v>
      </c>
      <c r="S24" s="151">
        <v>0.97</v>
      </c>
      <c r="T24" s="249">
        <v>0.97</v>
      </c>
      <c r="U24" s="496">
        <v>0</v>
      </c>
      <c r="V24" s="497">
        <v>0</v>
      </c>
      <c r="W24" s="151">
        <f t="shared" si="20"/>
        <v>0.97</v>
      </c>
      <c r="X24" s="151">
        <f t="shared" ref="X24:X25" si="35">+W24+V24</f>
        <v>0.97</v>
      </c>
      <c r="Y24" s="333">
        <f>+K24-S24</f>
        <v>3.0000000000000027E-2</v>
      </c>
      <c r="Z24" s="328">
        <f>+L24-T24</f>
        <v>3.0000000000000027E-2</v>
      </c>
      <c r="AA24" s="333">
        <f t="shared" si="1"/>
        <v>3.0000000000000027E-2</v>
      </c>
      <c r="AB24" s="333">
        <f t="shared" si="2"/>
        <v>3.0000000000000027E-2</v>
      </c>
      <c r="AC24" s="445">
        <f>AM56</f>
        <v>738202.94000000006</v>
      </c>
      <c r="AD24" s="335">
        <f>BG56</f>
        <v>753040.81909399992</v>
      </c>
      <c r="AE24" s="335">
        <f>BS56</f>
        <v>768176.93955778936</v>
      </c>
      <c r="AF24" s="329">
        <f t="shared" si="19"/>
        <v>783617.29604290088</v>
      </c>
      <c r="AG24" s="337">
        <f>AC24*S24</f>
        <v>716056.85180000006</v>
      </c>
      <c r="AH24" s="337">
        <f>AD24*T24</f>
        <v>730449.59452117991</v>
      </c>
      <c r="AI24" s="337">
        <f>AE24*W24</f>
        <v>745131.63137105561</v>
      </c>
      <c r="AJ24" s="337">
        <f>AF24*X24</f>
        <v>760108.77716161381</v>
      </c>
    </row>
    <row r="25" spans="1:67" x14ac:dyDescent="0.35">
      <c r="A25" s="56" t="s">
        <v>92</v>
      </c>
      <c r="B25" s="162">
        <f t="shared" si="5"/>
        <v>1</v>
      </c>
      <c r="C25" s="162">
        <f t="shared" si="6"/>
        <v>0.97712490941807217</v>
      </c>
      <c r="D25" s="162">
        <f t="shared" si="7"/>
        <v>1</v>
      </c>
      <c r="E25" s="461">
        <f t="shared" si="8"/>
        <v>1</v>
      </c>
      <c r="F25" s="363">
        <f t="shared" si="9"/>
        <v>1</v>
      </c>
      <c r="G25" s="162">
        <f t="shared" si="10"/>
        <v>1</v>
      </c>
      <c r="H25" s="162">
        <f t="shared" si="11"/>
        <v>1</v>
      </c>
      <c r="I25" s="162">
        <f t="shared" si="12"/>
        <v>1</v>
      </c>
      <c r="J25" s="363">
        <f t="shared" si="13"/>
        <v>1</v>
      </c>
      <c r="K25" s="316">
        <f t="shared" si="14"/>
        <v>1</v>
      </c>
      <c r="L25" s="273">
        <f t="shared" si="15"/>
        <v>1</v>
      </c>
      <c r="M25" s="273">
        <f t="shared" si="16"/>
        <v>1</v>
      </c>
      <c r="N25" s="273">
        <f t="shared" si="17"/>
        <v>1</v>
      </c>
      <c r="O25" s="322">
        <f>+(K25-H25)*100</f>
        <v>0</v>
      </c>
      <c r="P25" s="322">
        <f>+(L25-H25)*100</f>
        <v>0</v>
      </c>
      <c r="Q25" s="317">
        <f>+(M25-H25)*100</f>
        <v>0</v>
      </c>
      <c r="R25" s="322">
        <f t="shared" si="18"/>
        <v>0</v>
      </c>
      <c r="S25" s="151">
        <v>0.97</v>
      </c>
      <c r="T25" s="249">
        <v>0.97</v>
      </c>
      <c r="U25" s="496">
        <v>0</v>
      </c>
      <c r="V25" s="497">
        <v>0</v>
      </c>
      <c r="W25" s="151">
        <f t="shared" si="20"/>
        <v>0.97</v>
      </c>
      <c r="X25" s="151">
        <f t="shared" si="35"/>
        <v>0.97</v>
      </c>
      <c r="Y25" s="333">
        <f>+K25-S25</f>
        <v>3.0000000000000027E-2</v>
      </c>
      <c r="Z25" s="328">
        <f>+L25-T25</f>
        <v>3.0000000000000027E-2</v>
      </c>
      <c r="AA25" s="333">
        <f t="shared" si="1"/>
        <v>3.0000000000000027E-2</v>
      </c>
      <c r="AB25" s="333">
        <f t="shared" si="2"/>
        <v>3.0000000000000027E-2</v>
      </c>
      <c r="AC25" s="445">
        <f>AM57</f>
        <v>1767655.92</v>
      </c>
      <c r="AD25" s="335">
        <f>BG57</f>
        <v>1839069.2191679999</v>
      </c>
      <c r="AE25" s="335">
        <f>BS57</f>
        <v>1913367.6156223873</v>
      </c>
      <c r="AF25" s="329">
        <f t="shared" si="19"/>
        <v>1990667.6672935314</v>
      </c>
      <c r="AG25" s="337">
        <f>AC25*S25</f>
        <v>1714626.2423999999</v>
      </c>
      <c r="AH25" s="337">
        <f>AD25*T25</f>
        <v>1783897.1425929598</v>
      </c>
      <c r="AI25" s="337">
        <f>AE25*W25</f>
        <v>1855966.5871537155</v>
      </c>
      <c r="AJ25" s="337">
        <f>AF25*X25</f>
        <v>1930947.6372747254</v>
      </c>
    </row>
    <row r="26" spans="1:67" x14ac:dyDescent="0.35">
      <c r="A26" s="56" t="s">
        <v>93</v>
      </c>
      <c r="B26" s="162"/>
      <c r="C26" s="162"/>
      <c r="D26" s="162"/>
      <c r="E26" s="461"/>
      <c r="F26" s="363"/>
      <c r="G26" s="162"/>
      <c r="H26" s="162"/>
      <c r="I26" s="162">
        <f t="shared" si="12"/>
        <v>0</v>
      </c>
      <c r="J26" s="363">
        <f t="shared" si="13"/>
        <v>0</v>
      </c>
      <c r="K26" s="316"/>
      <c r="L26" s="273"/>
      <c r="M26" s="273"/>
      <c r="N26" s="273"/>
      <c r="O26" s="322"/>
      <c r="P26" s="322"/>
      <c r="Q26" s="317"/>
      <c r="R26" s="322">
        <f t="shared" si="18"/>
        <v>0</v>
      </c>
      <c r="S26" s="151"/>
      <c r="T26" s="475"/>
      <c r="U26" s="496"/>
      <c r="V26" s="498"/>
      <c r="W26" s="151"/>
      <c r="X26" s="151"/>
      <c r="Y26" s="333"/>
      <c r="Z26" s="328"/>
      <c r="AA26" s="333">
        <f t="shared" si="1"/>
        <v>0</v>
      </c>
      <c r="AB26" s="333">
        <f t="shared" si="2"/>
        <v>0</v>
      </c>
      <c r="AC26" s="446"/>
      <c r="AD26" s="333"/>
      <c r="AE26" s="335"/>
      <c r="AF26" s="329"/>
      <c r="AG26" s="333"/>
      <c r="AH26" s="333"/>
      <c r="AI26" s="337"/>
      <c r="AJ26" s="337"/>
    </row>
    <row r="27" spans="1:67" x14ac:dyDescent="0.35">
      <c r="A27" s="56" t="s">
        <v>94</v>
      </c>
      <c r="B27" s="162">
        <f t="shared" si="5"/>
        <v>1</v>
      </c>
      <c r="C27" s="162">
        <f t="shared" si="6"/>
        <v>1</v>
      </c>
      <c r="D27" s="162">
        <f t="shared" si="7"/>
        <v>1</v>
      </c>
      <c r="E27" s="461">
        <f t="shared" si="8"/>
        <v>1</v>
      </c>
      <c r="F27" s="363">
        <f t="shared" si="9"/>
        <v>1</v>
      </c>
      <c r="G27" s="162">
        <f t="shared" si="10"/>
        <v>1</v>
      </c>
      <c r="H27" s="162">
        <f t="shared" si="11"/>
        <v>0.88279535507632867</v>
      </c>
      <c r="I27" s="162">
        <f t="shared" si="12"/>
        <v>0.98484352379056816</v>
      </c>
      <c r="J27" s="363">
        <f t="shared" si="13"/>
        <v>0.83074991822693189</v>
      </c>
      <c r="K27" s="316">
        <f t="shared" si="14"/>
        <v>0.87618896190872286</v>
      </c>
      <c r="L27" s="273">
        <f t="shared" si="15"/>
        <v>0.87496007575964518</v>
      </c>
      <c r="M27" s="273">
        <f t="shared" si="16"/>
        <v>0.87371899230416683</v>
      </c>
      <c r="N27" s="273">
        <f t="shared" si="17"/>
        <v>0.87246559047795336</v>
      </c>
      <c r="O27" s="322">
        <f t="shared" ref="O27:O32" si="36">+(K27-H27)*100</f>
        <v>-0.66063931676058063</v>
      </c>
      <c r="P27" s="322">
        <f t="shared" ref="P27:P32" si="37">+(L27-H27)*100</f>
        <v>-0.78352793166834855</v>
      </c>
      <c r="Q27" s="317">
        <f t="shared" ref="Q27:Q32" si="38">+(M27-H27)*100</f>
        <v>-0.9076362772161839</v>
      </c>
      <c r="R27" s="322">
        <f t="shared" si="18"/>
        <v>-1.0329764598375313</v>
      </c>
      <c r="S27" s="151">
        <v>0.85</v>
      </c>
      <c r="T27" s="249">
        <v>0.8</v>
      </c>
      <c r="U27" s="496">
        <v>0</v>
      </c>
      <c r="V27" s="497">
        <v>0</v>
      </c>
      <c r="W27" s="151">
        <f t="shared" si="20"/>
        <v>0.8</v>
      </c>
      <c r="X27" s="151">
        <f t="shared" ref="X27:X28" si="39">+W27+V27</f>
        <v>0.8</v>
      </c>
      <c r="Y27" s="333">
        <f t="shared" ref="Y27:Z32" si="40">+K27-S27</f>
        <v>2.6188961908722885E-2</v>
      </c>
      <c r="Z27" s="328">
        <f t="shared" si="40"/>
        <v>7.4960075759645139E-2</v>
      </c>
      <c r="AA27" s="333">
        <f t="shared" si="1"/>
        <v>7.3718992304166786E-2</v>
      </c>
      <c r="AB27" s="333">
        <f t="shared" si="2"/>
        <v>7.2465590477953312E-2</v>
      </c>
      <c r="AC27" s="445">
        <f>AM59</f>
        <v>5107183.17</v>
      </c>
      <c r="AD27" s="335">
        <f>BG59</f>
        <v>5209837.5517169992</v>
      </c>
      <c r="AE27" s="335">
        <f>BS59</f>
        <v>5314555.2865065113</v>
      </c>
      <c r="AF27" s="329">
        <f t="shared" si="19"/>
        <v>5421377.847765292</v>
      </c>
      <c r="AG27" s="337">
        <f t="shared" ref="AG27:AH32" si="41">AC27*S27</f>
        <v>4341105.6945000002</v>
      </c>
      <c r="AH27" s="337">
        <f t="shared" si="41"/>
        <v>4167870.0413735993</v>
      </c>
      <c r="AI27" s="337">
        <f t="shared" ref="AI27:AJ32" si="42">AE27*W27</f>
        <v>4251644.2292052088</v>
      </c>
      <c r="AJ27" s="337">
        <f t="shared" si="42"/>
        <v>4337102.2782122334</v>
      </c>
    </row>
    <row r="28" spans="1:67" x14ac:dyDescent="0.35">
      <c r="A28" s="56" t="s">
        <v>95</v>
      </c>
      <c r="B28" s="162">
        <f>+E60</f>
        <v>1</v>
      </c>
      <c r="C28" s="162">
        <f>+I60</f>
        <v>1</v>
      </c>
      <c r="D28" s="162">
        <f>+M60</f>
        <v>1</v>
      </c>
      <c r="E28" s="461">
        <f>+Q60</f>
        <v>1</v>
      </c>
      <c r="F28" s="363">
        <f>U60</f>
        <v>1</v>
      </c>
      <c r="G28" s="162">
        <f>Y60</f>
        <v>1</v>
      </c>
      <c r="H28" s="162">
        <f>AC60</f>
        <v>1</v>
      </c>
      <c r="I28" s="162">
        <f t="shared" si="12"/>
        <v>1</v>
      </c>
      <c r="J28" s="363">
        <f t="shared" si="13"/>
        <v>1</v>
      </c>
      <c r="K28" s="316">
        <f>AN60</f>
        <v>1</v>
      </c>
      <c r="L28" s="273">
        <f>BH60</f>
        <v>1</v>
      </c>
      <c r="M28" s="273">
        <f t="shared" si="16"/>
        <v>1</v>
      </c>
      <c r="N28" s="273">
        <f t="shared" si="17"/>
        <v>1</v>
      </c>
      <c r="O28" s="322">
        <f t="shared" si="36"/>
        <v>0</v>
      </c>
      <c r="P28" s="322">
        <f t="shared" si="37"/>
        <v>0</v>
      </c>
      <c r="Q28" s="317">
        <f t="shared" si="38"/>
        <v>0</v>
      </c>
      <c r="R28" s="322">
        <f t="shared" si="18"/>
        <v>0</v>
      </c>
      <c r="S28" s="151">
        <v>0.97</v>
      </c>
      <c r="T28" s="249">
        <v>0.97</v>
      </c>
      <c r="U28" s="496">
        <v>0</v>
      </c>
      <c r="V28" s="497">
        <v>0</v>
      </c>
      <c r="W28" s="151">
        <f t="shared" si="20"/>
        <v>0.97</v>
      </c>
      <c r="X28" s="151">
        <f t="shared" si="39"/>
        <v>0.97</v>
      </c>
      <c r="Y28" s="333">
        <f t="shared" si="40"/>
        <v>3.0000000000000027E-2</v>
      </c>
      <c r="Z28" s="328">
        <f t="shared" si="40"/>
        <v>3.0000000000000027E-2</v>
      </c>
      <c r="AA28" s="333">
        <f t="shared" si="1"/>
        <v>3.0000000000000027E-2</v>
      </c>
      <c r="AB28" s="333">
        <f t="shared" si="2"/>
        <v>3.0000000000000027E-2</v>
      </c>
      <c r="AC28" s="445">
        <f>AM60</f>
        <v>539017.81000000006</v>
      </c>
      <c r="AD28" s="335">
        <f>BG60</f>
        <v>549852.06798099994</v>
      </c>
      <c r="AE28" s="335">
        <f>BS60</f>
        <v>560904.09454741806</v>
      </c>
      <c r="AF28" s="329">
        <f t="shared" si="19"/>
        <v>572178.26684782107</v>
      </c>
      <c r="AG28" s="337">
        <f t="shared" si="41"/>
        <v>522847.27570000006</v>
      </c>
      <c r="AH28" s="337">
        <f t="shared" si="41"/>
        <v>533356.50594156992</v>
      </c>
      <c r="AI28" s="337">
        <f t="shared" si="42"/>
        <v>544076.97171099554</v>
      </c>
      <c r="AJ28" s="337">
        <f t="shared" si="42"/>
        <v>555012.91884238645</v>
      </c>
    </row>
    <row r="29" spans="1:67" s="93" customFormat="1" x14ac:dyDescent="0.35">
      <c r="A29" s="93" t="s">
        <v>96</v>
      </c>
      <c r="B29" s="511"/>
      <c r="C29" s="511"/>
      <c r="D29" s="511"/>
      <c r="E29" s="511"/>
      <c r="F29" s="512">
        <f>U61</f>
        <v>0.93704385945431157</v>
      </c>
      <c r="G29" s="513">
        <f>Y61</f>
        <v>0.95137486114135028</v>
      </c>
      <c r="H29" s="513">
        <f>AC61</f>
        <v>0.93847083286893673</v>
      </c>
      <c r="I29" s="513">
        <f t="shared" si="12"/>
        <v>0.96875463988549504</v>
      </c>
      <c r="J29" s="512">
        <f t="shared" si="13"/>
        <v>0.92995649953718318</v>
      </c>
      <c r="K29" s="514">
        <f>AN61</f>
        <v>0.93669442871377606</v>
      </c>
      <c r="L29" s="515">
        <f>BH61</f>
        <v>0.93544705826840158</v>
      </c>
      <c r="M29" s="515">
        <f t="shared" si="16"/>
        <v>0.9341751096856471</v>
      </c>
      <c r="N29" s="515">
        <f t="shared" si="17"/>
        <v>0.93287809867887639</v>
      </c>
      <c r="O29" s="516">
        <f t="shared" si="36"/>
        <v>-0.17764041551606713</v>
      </c>
      <c r="P29" s="516">
        <f t="shared" si="37"/>
        <v>-0.30237746005351562</v>
      </c>
      <c r="Q29" s="517">
        <f t="shared" si="38"/>
        <v>-0.42957231832896348</v>
      </c>
      <c r="R29" s="516">
        <f t="shared" si="18"/>
        <v>-0.55927341900603444</v>
      </c>
      <c r="S29" s="518">
        <v>0.91</v>
      </c>
      <c r="T29" s="519">
        <v>0.89</v>
      </c>
      <c r="U29" s="520">
        <v>0</v>
      </c>
      <c r="V29" s="521">
        <v>0</v>
      </c>
      <c r="W29" s="518">
        <f>+T29+U29</f>
        <v>0.89</v>
      </c>
      <c r="X29" s="518">
        <f>+W29+V29</f>
        <v>0.89</v>
      </c>
      <c r="Y29" s="522">
        <f t="shared" si="40"/>
        <v>2.6694428713776031E-2</v>
      </c>
      <c r="Z29" s="523">
        <f t="shared" si="40"/>
        <v>4.5447058268401563E-2</v>
      </c>
      <c r="AA29" s="524">
        <f t="shared" si="1"/>
        <v>4.4175109685647085E-2</v>
      </c>
      <c r="AB29" s="524">
        <f t="shared" si="2"/>
        <v>4.2878098678876375E-2</v>
      </c>
      <c r="AC29" s="525">
        <f t="shared" ref="AC29:AC32" si="43">AM61</f>
        <v>9490272.7799999993</v>
      </c>
      <c r="AD29" s="526">
        <f t="shared" ref="AD29:AD32" si="44">BG61</f>
        <v>9873679.8003119994</v>
      </c>
      <c r="AE29" s="526">
        <f t="shared" ref="AE29:AE32" si="45">BS61</f>
        <v>10272576.464244604</v>
      </c>
      <c r="AF29" s="94">
        <f t="shared" si="19"/>
        <v>10687588.553400084</v>
      </c>
      <c r="AG29" s="527">
        <f t="shared" si="41"/>
        <v>8636148.2297999989</v>
      </c>
      <c r="AH29" s="528">
        <f t="shared" si="41"/>
        <v>8787575.0222776793</v>
      </c>
      <c r="AI29" s="527">
        <f t="shared" si="42"/>
        <v>9142593.0531776976</v>
      </c>
      <c r="AJ29" s="527">
        <f t="shared" si="42"/>
        <v>9511953.8125260752</v>
      </c>
      <c r="AK29" s="529"/>
      <c r="AL29" s="530"/>
      <c r="AM29" s="529"/>
      <c r="AN29" s="529"/>
      <c r="AO29" s="529"/>
      <c r="AP29" s="531"/>
      <c r="AQ29" s="529"/>
      <c r="AR29" s="529"/>
      <c r="AS29" s="529"/>
      <c r="AT29" s="529"/>
      <c r="AU29" s="529"/>
      <c r="AV29" s="530"/>
      <c r="AW29" s="529"/>
      <c r="AX29" s="529"/>
      <c r="AY29" s="529"/>
      <c r="BB29" s="531"/>
      <c r="BC29" s="531"/>
      <c r="BD29" s="531"/>
      <c r="BE29" s="529"/>
      <c r="BF29" s="530"/>
      <c r="BG29" s="529"/>
      <c r="BH29" s="529"/>
      <c r="BI29" s="529"/>
      <c r="BJ29" s="532"/>
      <c r="BK29" s="529"/>
      <c r="BL29" s="530"/>
      <c r="BM29" s="529"/>
      <c r="BN29" s="529"/>
      <c r="BO29" s="529"/>
    </row>
    <row r="30" spans="1:67" x14ac:dyDescent="0.35">
      <c r="A30" s="56" t="s">
        <v>98</v>
      </c>
      <c r="B30" s="162">
        <f>+E62</f>
        <v>0.75272199420512775</v>
      </c>
      <c r="C30" s="162">
        <f>+I62</f>
        <v>0.7363928166128153</v>
      </c>
      <c r="D30" s="162">
        <f>+M62</f>
        <v>0.74420624509082633</v>
      </c>
      <c r="E30" s="461">
        <f>+Q62</f>
        <v>0.75437072236282043</v>
      </c>
      <c r="F30" s="363">
        <f>U62</f>
        <v>0.77467053979493916</v>
      </c>
      <c r="G30" s="162">
        <f>Y62</f>
        <v>0.76833981834662646</v>
      </c>
      <c r="H30" s="162">
        <f>AC62</f>
        <v>0.78866506658462099</v>
      </c>
      <c r="I30" s="162">
        <f t="shared" si="12"/>
        <v>0.89456787880357602</v>
      </c>
      <c r="J30" s="363">
        <f t="shared" si="13"/>
        <v>0.83801727182082708</v>
      </c>
      <c r="K30" s="316">
        <f>AN62</f>
        <v>0.74053168481467146</v>
      </c>
      <c r="L30" s="273">
        <f>BH62</f>
        <v>0.735419131507002</v>
      </c>
      <c r="M30" s="273">
        <f t="shared" si="16"/>
        <v>0.7302058406533819</v>
      </c>
      <c r="N30" s="273">
        <f t="shared" si="17"/>
        <v>0.72488982732523333</v>
      </c>
      <c r="O30" s="322">
        <f t="shared" si="36"/>
        <v>-4.8133381769949519</v>
      </c>
      <c r="P30" s="322">
        <f t="shared" si="37"/>
        <v>-5.3245935077618984</v>
      </c>
      <c r="Q30" s="317">
        <f t="shared" si="38"/>
        <v>-5.8459225931239089</v>
      </c>
      <c r="R30" s="322">
        <f t="shared" si="18"/>
        <v>-6.3775239259387657</v>
      </c>
      <c r="S30" s="151">
        <v>0.7</v>
      </c>
      <c r="T30" s="249">
        <v>0.65</v>
      </c>
      <c r="U30" s="496">
        <v>0</v>
      </c>
      <c r="V30" s="497">
        <v>-0.01</v>
      </c>
      <c r="W30" s="151">
        <f t="shared" ref="W30:W32" si="46">+T30+U30</f>
        <v>0.65</v>
      </c>
      <c r="X30" s="151">
        <f t="shared" ref="X30:X31" si="47">+W30+V30</f>
        <v>0.64</v>
      </c>
      <c r="Y30" s="333">
        <f t="shared" si="40"/>
        <v>4.0531684814671509E-2</v>
      </c>
      <c r="Z30" s="328">
        <f t="shared" si="40"/>
        <v>8.5419131507001977E-2</v>
      </c>
      <c r="AA30" s="333">
        <f t="shared" si="1"/>
        <v>8.0205840653381877E-2</v>
      </c>
      <c r="AB30" s="333">
        <f t="shared" si="2"/>
        <v>8.4889827325233314E-2</v>
      </c>
      <c r="AC30" s="445">
        <f t="shared" si="43"/>
        <v>290572899.84000003</v>
      </c>
      <c r="AD30" s="335">
        <f t="shared" si="44"/>
        <v>302312044.993536</v>
      </c>
      <c r="AE30" s="335">
        <f t="shared" si="45"/>
        <v>314525451.61127484</v>
      </c>
      <c r="AF30" s="329">
        <f t="shared" si="19"/>
        <v>327232279.85637033</v>
      </c>
      <c r="AG30" s="337">
        <f t="shared" si="41"/>
        <v>203401029.88800001</v>
      </c>
      <c r="AH30" s="456">
        <f t="shared" si="41"/>
        <v>196502829.24579841</v>
      </c>
      <c r="AI30" s="337">
        <f t="shared" si="42"/>
        <v>204441543.54732865</v>
      </c>
      <c r="AJ30" s="337">
        <f t="shared" si="42"/>
        <v>209428659.10807702</v>
      </c>
    </row>
    <row r="31" spans="1:67" x14ac:dyDescent="0.35">
      <c r="A31" s="56" t="s">
        <v>99</v>
      </c>
      <c r="B31" s="162">
        <f>+E63</f>
        <v>0.9971494696633787</v>
      </c>
      <c r="C31" s="162">
        <f>+I63</f>
        <v>0.99544365083766428</v>
      </c>
      <c r="D31" s="162">
        <f>+M63</f>
        <v>0.99574278899590585</v>
      </c>
      <c r="E31" s="461">
        <f>+Q63</f>
        <v>0.99942701763330166</v>
      </c>
      <c r="F31" s="363">
        <f>U63</f>
        <v>0.99984642718403116</v>
      </c>
      <c r="G31" s="162">
        <f>Y63</f>
        <v>0.99901856000924638</v>
      </c>
      <c r="H31" s="162">
        <f>AC63</f>
        <v>0.99800150790388509</v>
      </c>
      <c r="I31" s="162">
        <f t="shared" si="12"/>
        <v>0.99934661650907275</v>
      </c>
      <c r="J31" s="363">
        <f t="shared" si="13"/>
        <v>1</v>
      </c>
      <c r="K31" s="316">
        <f>AN63</f>
        <v>0.99798513844597192</v>
      </c>
      <c r="L31" s="273">
        <f>BH63</f>
        <v>0.99794543769447475</v>
      </c>
      <c r="M31" s="273">
        <f t="shared" si="16"/>
        <v>0.99790495468095763</v>
      </c>
      <c r="N31" s="273">
        <f t="shared" si="17"/>
        <v>0.9978636739917609</v>
      </c>
      <c r="O31" s="322">
        <f t="shared" si="36"/>
        <v>-1.6369457913167906E-3</v>
      </c>
      <c r="P31" s="322">
        <f t="shared" si="37"/>
        <v>-5.6070209410341576E-3</v>
      </c>
      <c r="Q31" s="317">
        <f t="shared" si="38"/>
        <v>-9.6553222927453497E-3</v>
      </c>
      <c r="R31" s="322">
        <f t="shared" si="18"/>
        <v>-1.3783391212418561E-2</v>
      </c>
      <c r="S31" s="151">
        <v>0.97</v>
      </c>
      <c r="T31" s="249">
        <v>0.95</v>
      </c>
      <c r="U31" s="496">
        <v>0</v>
      </c>
      <c r="V31" s="497">
        <v>0</v>
      </c>
      <c r="W31" s="151">
        <f t="shared" si="46"/>
        <v>0.95</v>
      </c>
      <c r="X31" s="151">
        <f t="shared" si="47"/>
        <v>0.95</v>
      </c>
      <c r="Y31" s="333">
        <f t="shared" si="40"/>
        <v>2.7985138445971947E-2</v>
      </c>
      <c r="Z31" s="328">
        <f t="shared" si="40"/>
        <v>4.7945437694474791E-2</v>
      </c>
      <c r="AA31" s="333">
        <f t="shared" si="1"/>
        <v>4.7904954680957679E-2</v>
      </c>
      <c r="AB31" s="333">
        <f t="shared" si="2"/>
        <v>4.7863673991760947E-2</v>
      </c>
      <c r="AC31" s="445">
        <f t="shared" si="43"/>
        <v>59694096.480000004</v>
      </c>
      <c r="AD31" s="335">
        <f t="shared" si="44"/>
        <v>62105737.977791995</v>
      </c>
      <c r="AE31" s="335">
        <f t="shared" si="45"/>
        <v>64614809.792094797</v>
      </c>
      <c r="AF31" s="329">
        <f t="shared" si="19"/>
        <v>67225248.107695416</v>
      </c>
      <c r="AG31" s="337">
        <f t="shared" si="41"/>
        <v>57903273.585600004</v>
      </c>
      <c r="AH31" s="456">
        <f t="shared" si="41"/>
        <v>59000451.078902394</v>
      </c>
      <c r="AI31" s="337">
        <f t="shared" si="42"/>
        <v>61384069.302490056</v>
      </c>
      <c r="AJ31" s="337">
        <f t="shared" si="42"/>
        <v>63863985.702310644</v>
      </c>
    </row>
    <row r="32" spans="1:67" ht="15" thickBot="1" x14ac:dyDescent="0.4">
      <c r="A32" s="57" t="s">
        <v>100</v>
      </c>
      <c r="B32" s="162">
        <f>+E64</f>
        <v>0.79404879176636156</v>
      </c>
      <c r="C32" s="162">
        <f>+I64</f>
        <v>0.78029452973486768</v>
      </c>
      <c r="D32" s="162">
        <f>+M64</f>
        <v>0.78687438188817627</v>
      </c>
      <c r="E32" s="461">
        <f>+Q64</f>
        <v>0.79606152366275007</v>
      </c>
      <c r="F32" s="364">
        <f>U64</f>
        <v>0.81172655092453327</v>
      </c>
      <c r="G32" s="365">
        <f>Y64</f>
        <v>0.80512128055596421</v>
      </c>
      <c r="H32" s="365">
        <f>AC64</f>
        <v>0.82434113614350024</v>
      </c>
      <c r="I32" s="365">
        <f t="shared" si="12"/>
        <v>0.90808510176135382</v>
      </c>
      <c r="J32" s="364">
        <f t="shared" si="13"/>
        <v>0.85941051406992419</v>
      </c>
      <c r="K32" s="318">
        <f>AN64</f>
        <v>0.78440807471620699</v>
      </c>
      <c r="L32" s="319">
        <f>BH64</f>
        <v>0.78016006004077665</v>
      </c>
      <c r="M32" s="319">
        <f t="shared" si="16"/>
        <v>0.77582834265403688</v>
      </c>
      <c r="N32" s="319">
        <f t="shared" si="17"/>
        <v>0.7714112732811107</v>
      </c>
      <c r="O32" s="323">
        <f t="shared" si="36"/>
        <v>-3.9933061427293248</v>
      </c>
      <c r="P32" s="323">
        <f t="shared" si="37"/>
        <v>-4.4181076102723598</v>
      </c>
      <c r="Q32" s="320">
        <f t="shared" si="38"/>
        <v>-4.8512793489463357</v>
      </c>
      <c r="R32" s="323">
        <f>+(N32-H32)*100</f>
        <v>-5.2929862862389543</v>
      </c>
      <c r="S32" s="326">
        <v>0.75</v>
      </c>
      <c r="T32" s="450">
        <v>0.7</v>
      </c>
      <c r="U32" s="499">
        <v>0</v>
      </c>
      <c r="V32" s="500">
        <v>-0.01</v>
      </c>
      <c r="W32" s="151">
        <f t="shared" si="46"/>
        <v>0.7</v>
      </c>
      <c r="X32" s="151">
        <f>+W32+V32</f>
        <v>0.69</v>
      </c>
      <c r="Y32" s="334">
        <f t="shared" si="40"/>
        <v>3.4408074716206993E-2</v>
      </c>
      <c r="Z32" s="330">
        <f t="shared" si="40"/>
        <v>8.0160060040776693E-2</v>
      </c>
      <c r="AA32" s="334">
        <f t="shared" si="1"/>
        <v>7.5828342654036929E-2</v>
      </c>
      <c r="AB32" s="334">
        <f t="shared" si="2"/>
        <v>8.1411273281110752E-2</v>
      </c>
      <c r="AC32" s="447">
        <f t="shared" si="43"/>
        <v>350266996.31999999</v>
      </c>
      <c r="AD32" s="336">
        <f t="shared" si="44"/>
        <v>364417782.97132796</v>
      </c>
      <c r="AE32" s="336">
        <f t="shared" si="45"/>
        <v>379140261.40336967</v>
      </c>
      <c r="AF32" s="331">
        <f t="shared" si="19"/>
        <v>394457527.96406573</v>
      </c>
      <c r="AG32" s="374">
        <f t="shared" si="41"/>
        <v>262700247.24000001</v>
      </c>
      <c r="AH32" s="457">
        <f t="shared" si="41"/>
        <v>255092448.07992956</v>
      </c>
      <c r="AI32" s="374">
        <f t="shared" si="42"/>
        <v>265398182.98235875</v>
      </c>
      <c r="AJ32" s="374">
        <f t="shared" si="42"/>
        <v>272175694.29520535</v>
      </c>
    </row>
    <row r="33" spans="1:84" s="32" customFormat="1" ht="15" thickBot="1" x14ac:dyDescent="0.4">
      <c r="B33" s="85"/>
      <c r="C33" s="85"/>
      <c r="D33" s="85"/>
    </row>
    <row r="34" spans="1:84" ht="15" thickBot="1" x14ac:dyDescent="0.4">
      <c r="B34" s="653" t="s">
        <v>143</v>
      </c>
      <c r="C34" s="654"/>
      <c r="D34" s="654"/>
      <c r="E34" s="655"/>
      <c r="F34" s="653" t="s">
        <v>144</v>
      </c>
      <c r="G34" s="654"/>
      <c r="H34" s="654"/>
      <c r="I34" s="655"/>
      <c r="J34" s="653" t="s">
        <v>145</v>
      </c>
      <c r="K34" s="654"/>
      <c r="L34" s="654"/>
      <c r="M34" s="655"/>
      <c r="N34" s="653" t="s">
        <v>146</v>
      </c>
      <c r="O34" s="654"/>
      <c r="P34" s="654"/>
      <c r="Q34" s="655"/>
      <c r="R34" s="653" t="s">
        <v>147</v>
      </c>
      <c r="S34" s="654"/>
      <c r="T34" s="654"/>
      <c r="U34" s="655"/>
      <c r="V34" s="653" t="s">
        <v>148</v>
      </c>
      <c r="W34" s="654"/>
      <c r="X34" s="654"/>
      <c r="Y34" s="655"/>
      <c r="Z34" s="656" t="s">
        <v>149</v>
      </c>
      <c r="AA34" s="657"/>
      <c r="AB34" s="657"/>
      <c r="AC34" s="657"/>
      <c r="AD34" s="657"/>
      <c r="AE34" s="657"/>
      <c r="AF34" s="657"/>
      <c r="AG34" s="657"/>
      <c r="AH34" s="658"/>
      <c r="AI34" s="650" t="s">
        <v>150</v>
      </c>
      <c r="AJ34" s="651"/>
      <c r="AK34" s="651"/>
      <c r="AL34" s="651"/>
      <c r="AM34" s="651"/>
      <c r="AN34" s="652"/>
      <c r="AO34" s="656" t="s">
        <v>151</v>
      </c>
      <c r="AP34" s="657"/>
      <c r="AQ34" s="657"/>
      <c r="AR34" s="658"/>
      <c r="AS34" s="650" t="s">
        <v>152</v>
      </c>
      <c r="AT34" s="651"/>
      <c r="AU34" s="651"/>
      <c r="AV34" s="651"/>
      <c r="AW34" s="651"/>
      <c r="AX34" s="652"/>
      <c r="AY34" s="656" t="s">
        <v>153</v>
      </c>
      <c r="AZ34" s="657"/>
      <c r="BA34" s="657"/>
      <c r="BB34" s="658"/>
      <c r="BC34" s="650" t="s">
        <v>154</v>
      </c>
      <c r="BD34" s="651"/>
      <c r="BE34" s="651"/>
      <c r="BF34" s="651"/>
      <c r="BG34" s="651"/>
      <c r="BH34" s="652"/>
      <c r="BI34" s="650" t="s">
        <v>155</v>
      </c>
      <c r="BJ34" s="651"/>
      <c r="BK34" s="651"/>
      <c r="BL34" s="651"/>
      <c r="BM34" s="651"/>
      <c r="BN34" s="652"/>
      <c r="BO34" s="650" t="s">
        <v>156</v>
      </c>
      <c r="BP34" s="651"/>
      <c r="BQ34" s="651"/>
      <c r="BR34" s="651"/>
      <c r="BS34" s="651"/>
      <c r="BT34" s="652"/>
      <c r="BU34" s="650" t="s">
        <v>157</v>
      </c>
      <c r="BV34" s="651"/>
      <c r="BW34" s="651"/>
      <c r="BX34" s="651"/>
      <c r="BY34" s="651"/>
      <c r="BZ34" s="652"/>
      <c r="CA34" s="650" t="s">
        <v>158</v>
      </c>
      <c r="CB34" s="651"/>
      <c r="CC34" s="651"/>
      <c r="CD34" s="651"/>
      <c r="CE34" s="651"/>
      <c r="CF34" s="652"/>
    </row>
    <row r="35" spans="1:84" ht="84.65" customHeight="1" thickBot="1" x14ac:dyDescent="0.4">
      <c r="A35" s="53" t="s">
        <v>128</v>
      </c>
      <c r="B35" s="288" t="s">
        <v>159</v>
      </c>
      <c r="C35" s="289" t="s">
        <v>160</v>
      </c>
      <c r="D35" s="289" t="s">
        <v>161</v>
      </c>
      <c r="E35" s="161" t="s">
        <v>129</v>
      </c>
      <c r="F35" s="163" t="s">
        <v>159</v>
      </c>
      <c r="G35" s="164" t="s">
        <v>160</v>
      </c>
      <c r="H35" s="164" t="s">
        <v>161</v>
      </c>
      <c r="I35" s="161" t="s">
        <v>129</v>
      </c>
      <c r="J35" s="163" t="s">
        <v>159</v>
      </c>
      <c r="K35" s="164" t="s">
        <v>160</v>
      </c>
      <c r="L35" s="164" t="s">
        <v>161</v>
      </c>
      <c r="M35" s="161" t="s">
        <v>129</v>
      </c>
      <c r="N35" s="163" t="s">
        <v>159</v>
      </c>
      <c r="O35" s="164" t="s">
        <v>160</v>
      </c>
      <c r="P35" s="164" t="s">
        <v>161</v>
      </c>
      <c r="Q35" s="161" t="s">
        <v>129</v>
      </c>
      <c r="R35" s="163" t="s">
        <v>159</v>
      </c>
      <c r="S35" s="164" t="s">
        <v>160</v>
      </c>
      <c r="T35" s="164" t="s">
        <v>161</v>
      </c>
      <c r="U35" s="161" t="s">
        <v>129</v>
      </c>
      <c r="V35" s="163" t="s">
        <v>159</v>
      </c>
      <c r="W35" s="164" t="s">
        <v>160</v>
      </c>
      <c r="X35" s="164" t="s">
        <v>161</v>
      </c>
      <c r="Y35" s="161" t="s">
        <v>129</v>
      </c>
      <c r="Z35" s="163" t="s">
        <v>159</v>
      </c>
      <c r="AA35" s="164" t="s">
        <v>160</v>
      </c>
      <c r="AB35" s="164" t="s">
        <v>161</v>
      </c>
      <c r="AC35" s="164" t="s">
        <v>129</v>
      </c>
      <c r="AD35" s="164" t="s">
        <v>162</v>
      </c>
      <c r="AE35" s="164" t="s">
        <v>163</v>
      </c>
      <c r="AF35" s="161" t="s">
        <v>164</v>
      </c>
      <c r="AG35" s="115" t="s">
        <v>165</v>
      </c>
      <c r="AH35" s="297" t="s">
        <v>166</v>
      </c>
      <c r="AI35" s="251" t="str">
        <f>+N35</f>
        <v>Reliable Daily PMT</v>
      </c>
      <c r="AJ35" s="252" t="s">
        <v>167</v>
      </c>
      <c r="AK35" s="252" t="s">
        <v>168</v>
      </c>
      <c r="AL35" s="253" t="str">
        <f>+O35</f>
        <v>Unreliable Daily PMT</v>
      </c>
      <c r="AM35" s="253" t="str">
        <f>+P35</f>
        <v>Total Daily PMT</v>
      </c>
      <c r="AN35" s="254" t="str">
        <f>+Q35</f>
        <v>Reliable Percentage</v>
      </c>
      <c r="AO35" s="163" t="s">
        <v>159</v>
      </c>
      <c r="AP35" s="164" t="s">
        <v>160</v>
      </c>
      <c r="AQ35" s="164" t="s">
        <v>161</v>
      </c>
      <c r="AR35" s="161" t="s">
        <v>129</v>
      </c>
      <c r="AS35" s="263" t="str">
        <f>+AI35</f>
        <v>Reliable Daily PMT</v>
      </c>
      <c r="AT35" s="252" t="s">
        <v>169</v>
      </c>
      <c r="AU35" s="252" t="s">
        <v>168</v>
      </c>
      <c r="AV35" s="253" t="str">
        <f>+AL35</f>
        <v>Unreliable Daily PMT</v>
      </c>
      <c r="AW35" s="253" t="str">
        <f>+AM35</f>
        <v>Total Daily PMT</v>
      </c>
      <c r="AX35" s="254" t="str">
        <f>+AN35</f>
        <v>Reliable Percentage</v>
      </c>
      <c r="AY35" s="163" t="s">
        <v>159</v>
      </c>
      <c r="AZ35" s="164" t="s">
        <v>160</v>
      </c>
      <c r="BA35" s="164" t="s">
        <v>161</v>
      </c>
      <c r="BB35" s="161" t="s">
        <v>129</v>
      </c>
      <c r="BC35" s="265" t="s">
        <v>159</v>
      </c>
      <c r="BD35" s="252" t="s">
        <v>170</v>
      </c>
      <c r="BE35" s="252" t="s">
        <v>168</v>
      </c>
      <c r="BF35" s="252" t="s">
        <v>160</v>
      </c>
      <c r="BG35" s="264" t="str">
        <f>+AW35</f>
        <v>Total Daily PMT</v>
      </c>
      <c r="BH35" s="254" t="str">
        <f>+AX35</f>
        <v>Reliable Percentage</v>
      </c>
      <c r="BI35" s="265" t="s">
        <v>159</v>
      </c>
      <c r="BJ35" s="252" t="s">
        <v>170</v>
      </c>
      <c r="BK35" s="252" t="s">
        <v>168</v>
      </c>
      <c r="BL35" s="252" t="s">
        <v>160</v>
      </c>
      <c r="BM35" s="264" t="s">
        <v>161</v>
      </c>
      <c r="BN35" s="254" t="s">
        <v>129</v>
      </c>
      <c r="BO35" s="265" t="s">
        <v>159</v>
      </c>
      <c r="BP35" s="252" t="s">
        <v>170</v>
      </c>
      <c r="BQ35" s="252" t="s">
        <v>168</v>
      </c>
      <c r="BR35" s="252" t="s">
        <v>160</v>
      </c>
      <c r="BS35" s="264" t="s">
        <v>161</v>
      </c>
      <c r="BT35" s="254" t="s">
        <v>129</v>
      </c>
      <c r="BU35" s="265" t="s">
        <v>159</v>
      </c>
      <c r="BV35" s="252" t="s">
        <v>170</v>
      </c>
      <c r="BW35" s="252" t="s">
        <v>168</v>
      </c>
      <c r="BX35" s="252" t="s">
        <v>160</v>
      </c>
      <c r="BY35" s="264" t="s">
        <v>161</v>
      </c>
      <c r="BZ35" s="254" t="s">
        <v>129</v>
      </c>
      <c r="CA35" s="265" t="s">
        <v>159</v>
      </c>
      <c r="CB35" s="252" t="s">
        <v>170</v>
      </c>
      <c r="CC35" s="252" t="s">
        <v>168</v>
      </c>
      <c r="CD35" s="252" t="s">
        <v>160</v>
      </c>
      <c r="CE35" s="264" t="s">
        <v>161</v>
      </c>
      <c r="CF35" s="254" t="s">
        <v>129</v>
      </c>
    </row>
    <row r="36" spans="1:84" x14ac:dyDescent="0.35">
      <c r="A36" s="55" t="s">
        <v>71</v>
      </c>
      <c r="B36" s="290">
        <f>'2014 RAW DATA'!K5</f>
        <v>1228513.2407759998</v>
      </c>
      <c r="C36" s="291">
        <f>'2014 RAW DATA'!J5</f>
        <v>87127.711649999983</v>
      </c>
      <c r="D36" s="292">
        <f>+B36++C36</f>
        <v>1315640.9524259998</v>
      </c>
      <c r="E36" s="167">
        <f>B36/D36</f>
        <v>0.93377546397492472</v>
      </c>
      <c r="F36" s="173">
        <f>'2015 RAW DATA'!K5</f>
        <v>1327829.1346020002</v>
      </c>
      <c r="G36" s="293">
        <f>'2015 RAW DATA'!J5</f>
        <v>74708.358989999993</v>
      </c>
      <c r="H36" s="172">
        <f>+F36++G36</f>
        <v>1402537.4935920003</v>
      </c>
      <c r="I36" s="167">
        <f>F36/H36</f>
        <v>0.94673343184668346</v>
      </c>
      <c r="J36" s="173">
        <f>'2016 RAW DATA'!K5</f>
        <v>1391294.0277120003</v>
      </c>
      <c r="K36" s="293">
        <f>'2016 RAW DATA'!J5</f>
        <v>67737.397686000011</v>
      </c>
      <c r="L36" s="172">
        <f>+J36++K36</f>
        <v>1459031.4253980003</v>
      </c>
      <c r="M36" s="167">
        <f>J36/L36</f>
        <v>0.95357372260332074</v>
      </c>
      <c r="N36" s="173">
        <f>+'2017 RAW DATA'!K5</f>
        <v>884084</v>
      </c>
      <c r="O36" s="293">
        <f>+'2017 RAW DATA'!J5</f>
        <v>0</v>
      </c>
      <c r="P36" s="172">
        <f>+N36++O36</f>
        <v>884084</v>
      </c>
      <c r="Q36" s="167">
        <f>N36/P36</f>
        <v>1</v>
      </c>
      <c r="R36" s="165">
        <f>'2017 NEW RAW DATA '!K5</f>
        <v>863721</v>
      </c>
      <c r="S36" s="165">
        <f>'2017 NEW RAW DATA '!J5</f>
        <v>0</v>
      </c>
      <c r="T36" s="165">
        <f>R36+S36</f>
        <v>863721</v>
      </c>
      <c r="U36" s="166">
        <f>R36/T36</f>
        <v>1</v>
      </c>
      <c r="V36" s="165">
        <f>'2018 RAW DATA'!K5</f>
        <v>833642</v>
      </c>
      <c r="W36" s="165">
        <f>'2018 RAW DATA'!J5</f>
        <v>0</v>
      </c>
      <c r="X36" s="165">
        <f>V36+W36</f>
        <v>833642</v>
      </c>
      <c r="Y36" s="166">
        <f>V36/X36</f>
        <v>1</v>
      </c>
      <c r="Z36" s="304">
        <f>'2019 RAW DATA'!K5</f>
        <v>788341</v>
      </c>
      <c r="AA36" s="305">
        <f>'2019 RAW DATA'!J5</f>
        <v>0</v>
      </c>
      <c r="AB36" s="305">
        <f>Z36+AA36</f>
        <v>788341</v>
      </c>
      <c r="AC36" s="300">
        <f>Z36/AB36</f>
        <v>1</v>
      </c>
      <c r="AD36" s="300"/>
      <c r="AE36" s="300"/>
      <c r="AF36" s="166"/>
      <c r="AG36" s="116">
        <v>0</v>
      </c>
      <c r="AH36" s="298">
        <v>0.01</v>
      </c>
      <c r="AI36" s="255">
        <f>Z36*(100%+AH36)</f>
        <v>796224.41</v>
      </c>
      <c r="AJ36" s="315">
        <f>+AG36*((100%+AH36)^1)</f>
        <v>0</v>
      </c>
      <c r="AK36" s="258">
        <f>+AI36-AJ36</f>
        <v>796224.41</v>
      </c>
      <c r="AL36" s="258">
        <f>+AM36-AK36</f>
        <v>0</v>
      </c>
      <c r="AM36" s="258">
        <f>AB36*(100%+AH36)</f>
        <v>796224.41</v>
      </c>
      <c r="AN36" s="259">
        <f>AK36/AM36</f>
        <v>1</v>
      </c>
      <c r="AO36" s="170">
        <f>'2020 RAW DATA'!K5</f>
        <v>2445114</v>
      </c>
      <c r="AP36" s="172">
        <f>'2020 RAW DATA'!J5</f>
        <v>0</v>
      </c>
      <c r="AQ36" s="305">
        <f>AO36+AP36</f>
        <v>2445114</v>
      </c>
      <c r="AR36" s="311">
        <f t="shared" ref="AR36:AR61" si="48">AO36/AQ36</f>
        <v>1</v>
      </c>
      <c r="AS36" s="260">
        <f>AK36*(100%+AH36)</f>
        <v>804186.65410000004</v>
      </c>
      <c r="AT36" s="256">
        <f>+AG36*((100%+AH36)^2)</f>
        <v>0</v>
      </c>
      <c r="AU36" s="257">
        <f>+AW36-AV36</f>
        <v>804186.65410000004</v>
      </c>
      <c r="AV36" s="258">
        <f>AL36*((100%+(AH36*1.5)))</f>
        <v>0</v>
      </c>
      <c r="AW36" s="257">
        <f>AB36*(100%+AH36)^2</f>
        <v>804186.65410000004</v>
      </c>
      <c r="AX36" s="259">
        <f>AU36/AW36</f>
        <v>1</v>
      </c>
      <c r="AY36" s="170">
        <f>'2021 RAW Data'!K5</f>
        <v>2258262</v>
      </c>
      <c r="AZ36" s="172">
        <f>'2021 RAW Data'!J5</f>
        <v>0</v>
      </c>
      <c r="BA36" s="305">
        <f>AY36+AZ36</f>
        <v>2258262</v>
      </c>
      <c r="BB36" s="311">
        <f t="shared" ref="BB36:BB64" si="49">AY36/BA36</f>
        <v>1</v>
      </c>
      <c r="BC36" s="260">
        <f>AU36*(100%+AH36)</f>
        <v>812228.52064100001</v>
      </c>
      <c r="BD36" s="256">
        <f>+AG36*((100%+AH36)^3)</f>
        <v>0</v>
      </c>
      <c r="BE36" s="257">
        <f>+BG36-BF36</f>
        <v>812228.52064099989</v>
      </c>
      <c r="BF36" s="258">
        <f>AV36*((100%+(AH36*1.5)))</f>
        <v>0</v>
      </c>
      <c r="BG36" s="257">
        <f>AB36*(100%+AH36)^3</f>
        <v>812228.52064099989</v>
      </c>
      <c r="BH36" s="261">
        <f>BE36/BG36</f>
        <v>1</v>
      </c>
      <c r="BI36" s="255">
        <f>BE36*(100%+AH36)</f>
        <v>820350.80584740988</v>
      </c>
      <c r="BJ36" s="315">
        <f>+AG36*((100%+AH36)^4)</f>
        <v>0</v>
      </c>
      <c r="BK36" s="258">
        <f>+BM36-BL36</f>
        <v>820350.80584741</v>
      </c>
      <c r="BL36" s="258">
        <f>BF36*((100%+(AH36*1.5)))</f>
        <v>0</v>
      </c>
      <c r="BM36" s="258">
        <f>AB36*(100%+AH36)^4</f>
        <v>820350.80584741</v>
      </c>
      <c r="BN36" s="259">
        <f>BK36/BM36</f>
        <v>1</v>
      </c>
      <c r="BO36" s="255">
        <f>BK36*(100%+AH36)</f>
        <v>828554.31390588405</v>
      </c>
      <c r="BP36" s="315">
        <f>+AG36*((100%+AH36)^5)</f>
        <v>0</v>
      </c>
      <c r="BQ36" s="258">
        <f>+BS36-BR36</f>
        <v>828554.31390588405</v>
      </c>
      <c r="BR36" s="258">
        <f>BL36*((100%+(AH36*1.5)))</f>
        <v>0</v>
      </c>
      <c r="BS36" s="258">
        <f>AB36*(100%+AH36)^5</f>
        <v>828554.31390588405</v>
      </c>
      <c r="BT36" s="259">
        <f>BQ36/BS36</f>
        <v>1</v>
      </c>
      <c r="BU36" s="255">
        <f>BQ36*(100%+AH36)</f>
        <v>836839.85704494291</v>
      </c>
      <c r="BV36" s="315">
        <f>+AG36*((100%+AH36)^6)</f>
        <v>0</v>
      </c>
      <c r="BW36" s="258">
        <f>+BY36-BX36</f>
        <v>836839.85704494303</v>
      </c>
      <c r="BX36" s="258">
        <f>BR36*((100%+(AH36*1.5)))</f>
        <v>0</v>
      </c>
      <c r="BY36" s="258">
        <f>AB36*(100%+AH36)^6</f>
        <v>836839.85704494303</v>
      </c>
      <c r="BZ36" s="259">
        <f>BW36/BY36</f>
        <v>1</v>
      </c>
      <c r="CA36" s="255">
        <f>BW36*(100%+AH36)</f>
        <v>845208.25561539247</v>
      </c>
      <c r="CB36" s="315">
        <f>+AG36*((100%+AH36)^7)</f>
        <v>0</v>
      </c>
      <c r="CC36" s="258">
        <f>+CE36-CD36</f>
        <v>845208.25561539223</v>
      </c>
      <c r="CD36" s="258">
        <f>BX36*((100%+(AH36*1.5)))</f>
        <v>0</v>
      </c>
      <c r="CE36" s="258">
        <f>AB36*(100%+AH36)^7</f>
        <v>845208.25561539223</v>
      </c>
      <c r="CF36" s="259">
        <f>CC36/CE36</f>
        <v>1</v>
      </c>
    </row>
    <row r="37" spans="1:84" x14ac:dyDescent="0.35">
      <c r="A37" s="56" t="s">
        <v>72</v>
      </c>
      <c r="B37" s="290">
        <f>'2014 RAW DATA'!K6</f>
        <v>3009711.1791900001</v>
      </c>
      <c r="C37" s="291">
        <f>'2014 RAW DATA'!J6</f>
        <v>110154.25655999999</v>
      </c>
      <c r="D37" s="292">
        <f t="shared" ref="D37:D60" si="50">+B37++C37</f>
        <v>3119865.4357500002</v>
      </c>
      <c r="E37" s="167">
        <f>B37/D37</f>
        <v>0.96469262574668724</v>
      </c>
      <c r="F37" s="173">
        <f>'2015 RAW DATA'!K6</f>
        <v>3194339.7297660005</v>
      </c>
      <c r="G37" s="293">
        <f>'2015 RAW DATA'!J6</f>
        <v>131261.80331999998</v>
      </c>
      <c r="H37" s="172">
        <f t="shared" ref="H37:H60" si="51">+F37++G37</f>
        <v>3325601.5330860005</v>
      </c>
      <c r="I37" s="167">
        <f>F37/H37</f>
        <v>0.96052990654048831</v>
      </c>
      <c r="J37" s="173">
        <f>'2016 RAW DATA'!K6</f>
        <v>3309258.4139580023</v>
      </c>
      <c r="K37" s="293">
        <f>'2016 RAW DATA'!J6</f>
        <v>136610.014872</v>
      </c>
      <c r="L37" s="172">
        <f t="shared" ref="L37:L60" si="52">+J37++K37</f>
        <v>3445868.4288300024</v>
      </c>
      <c r="M37" s="167">
        <f t="shared" ref="M37:M64" si="53">J37/L37</f>
        <v>0.96035541759834864</v>
      </c>
      <c r="N37" s="173">
        <f>+'2017 RAW DATA'!K6</f>
        <v>2645256</v>
      </c>
      <c r="O37" s="293">
        <f>+'2017 RAW DATA'!J6</f>
        <v>5172</v>
      </c>
      <c r="P37" s="172">
        <f>+N37++O37</f>
        <v>2650428</v>
      </c>
      <c r="Q37" s="167">
        <f>N37/P37</f>
        <v>0.99804861705354753</v>
      </c>
      <c r="R37" s="165">
        <f>'2017 NEW RAW DATA '!K6</f>
        <v>2584822</v>
      </c>
      <c r="S37" s="165">
        <f>'2017 NEW RAW DATA '!J6</f>
        <v>5043</v>
      </c>
      <c r="T37" s="165">
        <f t="shared" ref="T37:T64" si="54">R37+S37</f>
        <v>2589865</v>
      </c>
      <c r="U37" s="167">
        <f t="shared" ref="U37:U64" si="55">R37/T37</f>
        <v>0.99805279425761573</v>
      </c>
      <c r="V37" s="165">
        <f>'2018 RAW DATA'!K6</f>
        <v>2480649</v>
      </c>
      <c r="W37" s="165">
        <f>'2018 RAW DATA'!J6</f>
        <v>0</v>
      </c>
      <c r="X37" s="165">
        <f t="shared" ref="X37:X64" si="56">V37+W37</f>
        <v>2480649</v>
      </c>
      <c r="Y37" s="167">
        <f t="shared" ref="Y37:Y64" si="57">V37/X37</f>
        <v>1</v>
      </c>
      <c r="Z37" s="306">
        <f>'2019 RAW DATA'!K6</f>
        <v>2192601</v>
      </c>
      <c r="AA37" s="165">
        <f>'2019 RAW DATA'!J6</f>
        <v>0</v>
      </c>
      <c r="AB37" s="165">
        <f>Z37+AA37</f>
        <v>2192601</v>
      </c>
      <c r="AC37" s="239">
        <f>Z37/AB37</f>
        <v>1</v>
      </c>
      <c r="AD37" s="239"/>
      <c r="AE37" s="239"/>
      <c r="AF37" s="167"/>
      <c r="AG37" s="116">
        <v>0</v>
      </c>
      <c r="AH37" s="298">
        <v>0.01</v>
      </c>
      <c r="AI37" s="260">
        <f>Z37*(100%+AH37)</f>
        <v>2214527.0100000002</v>
      </c>
      <c r="AJ37" s="256">
        <f t="shared" ref="AJ37:AJ64" si="58">+AG37*((100%+AH37)^1)</f>
        <v>0</v>
      </c>
      <c r="AK37" s="257">
        <f t="shared" ref="AK37:AK64" si="59">+AI37-AJ37</f>
        <v>2214527.0100000002</v>
      </c>
      <c r="AL37" s="257">
        <f t="shared" ref="AL37:AL63" si="60">+AM37-AK37</f>
        <v>0</v>
      </c>
      <c r="AM37" s="257">
        <f t="shared" ref="AM37:AM64" si="61">AB37*(100%+AH37)</f>
        <v>2214527.0100000002</v>
      </c>
      <c r="AN37" s="261">
        <f t="shared" ref="AN37:AN64" si="62">AK37/AM37</f>
        <v>1</v>
      </c>
      <c r="AO37" s="173">
        <f>'2020 RAW DATA'!K6</f>
        <v>5006999</v>
      </c>
      <c r="AP37" s="172">
        <f>'2020 RAW DATA'!J6</f>
        <v>0</v>
      </c>
      <c r="AQ37" s="165">
        <f>AO37+AP37</f>
        <v>5006999</v>
      </c>
      <c r="AR37" s="311">
        <f t="shared" si="48"/>
        <v>1</v>
      </c>
      <c r="AS37" s="260">
        <f>AK37*(100%+AH37)</f>
        <v>2236672.2801000001</v>
      </c>
      <c r="AT37" s="256">
        <f>+AG37*((100%+AH37)^2)</f>
        <v>0</v>
      </c>
      <c r="AU37" s="257">
        <f>+AW37-AV37</f>
        <v>2236672.2801000001</v>
      </c>
      <c r="AV37" s="257">
        <f>AL37*((100%+(AH37*1.5)))</f>
        <v>0</v>
      </c>
      <c r="AW37" s="257">
        <f>AB37*(100%+AH37)^2</f>
        <v>2236672.2801000001</v>
      </c>
      <c r="AX37" s="261">
        <f t="shared" ref="AX37:AX64" si="63">AU37/AW37</f>
        <v>1</v>
      </c>
      <c r="AY37" s="173">
        <f>'2021 RAW Data'!K6</f>
        <v>4552581</v>
      </c>
      <c r="AZ37" s="172">
        <f>'2021 RAW Data'!J6</f>
        <v>0</v>
      </c>
      <c r="BA37" s="165">
        <f t="shared" ref="BA37:BA64" si="64">AY37+AZ37</f>
        <v>4552581</v>
      </c>
      <c r="BB37" s="311">
        <f t="shared" si="49"/>
        <v>1</v>
      </c>
      <c r="BC37" s="260">
        <f>AU37*(100%+AH37)</f>
        <v>2259039.002901</v>
      </c>
      <c r="BD37" s="256">
        <f>+AG37*((100%+AH37)^3)</f>
        <v>0</v>
      </c>
      <c r="BE37" s="257">
        <f>+BG37-BF37</f>
        <v>2259039.002901</v>
      </c>
      <c r="BF37" s="257">
        <f>AV37*((100%+(AH37*1.5)))</f>
        <v>0</v>
      </c>
      <c r="BG37" s="257">
        <f>AB37*(100%+AH37)^3</f>
        <v>2259039.002901</v>
      </c>
      <c r="BH37" s="261">
        <f t="shared" ref="BH37:BH64" si="65">BE37/BG37</f>
        <v>1</v>
      </c>
      <c r="BI37" s="260">
        <f t="shared" ref="BI37:BI64" si="66">BE37*(100%+AH37)</f>
        <v>2281629.3929300099</v>
      </c>
      <c r="BJ37" s="256">
        <f t="shared" ref="BJ37:BJ64" si="67">+AG37*((100%+AH37)^4)</f>
        <v>0</v>
      </c>
      <c r="BK37" s="257">
        <f>+BM37-BL37</f>
        <v>2281629.3929300099</v>
      </c>
      <c r="BL37" s="257">
        <f t="shared" ref="BL37:BL64" si="68">BF37*((100%+(AH37*1.5)))</f>
        <v>0</v>
      </c>
      <c r="BM37" s="257">
        <f>AB37*(100%+AH37)^4</f>
        <v>2281629.3929300099</v>
      </c>
      <c r="BN37" s="261">
        <f t="shared" ref="BN37:BN64" si="69">BK37/BM37</f>
        <v>1</v>
      </c>
      <c r="BO37" s="260">
        <f t="shared" ref="BO37:BO64" si="70">BK37*(100%+AH37)</f>
        <v>2304445.6868593101</v>
      </c>
      <c r="BP37" s="256">
        <f t="shared" ref="BP37:BP64" si="71">+AG37*((100%+AH37)^5)</f>
        <v>0</v>
      </c>
      <c r="BQ37" s="257">
        <f>+BS37-BR37</f>
        <v>2304445.6868593101</v>
      </c>
      <c r="BR37" s="257">
        <f t="shared" ref="BR37:BR64" si="72">BL37*((100%+(AH37*1.5)))</f>
        <v>0</v>
      </c>
      <c r="BS37" s="257">
        <f t="shared" ref="BS37:BS64" si="73">AB37*(100%+AH37)^5</f>
        <v>2304445.6868593101</v>
      </c>
      <c r="BT37" s="261">
        <f t="shared" ref="BT37:BT64" si="74">BQ37/BS37</f>
        <v>1</v>
      </c>
      <c r="BU37" s="260">
        <f t="shared" ref="BU37:BU64" si="75">BQ37*(100%+AH37)</f>
        <v>2327490.1437279033</v>
      </c>
      <c r="BV37" s="256">
        <f t="shared" ref="BV37:BV63" si="76">+AG37*((100%+AH37)^6)</f>
        <v>0</v>
      </c>
      <c r="BW37" s="257">
        <f t="shared" ref="BW37:BW64" si="77">+BY37-BX37</f>
        <v>2327490.1437279037</v>
      </c>
      <c r="BX37" s="257">
        <f t="shared" ref="BX37:BX64" si="78">BR37*((100%+(AH37*1.5)))</f>
        <v>0</v>
      </c>
      <c r="BY37" s="257">
        <f t="shared" ref="BY37:BY64" si="79">AB37*(100%+AH37)^6</f>
        <v>2327490.1437279037</v>
      </c>
      <c r="BZ37" s="261">
        <f t="shared" ref="BZ37:BZ64" si="80">BW37/BY37</f>
        <v>1</v>
      </c>
      <c r="CA37" s="260">
        <f t="shared" ref="CA37:CA64" si="81">BW37*(100%+AH37)</f>
        <v>2350765.0451651826</v>
      </c>
      <c r="CB37" s="256">
        <f t="shared" ref="CB37:CB64" si="82">+AG37*((100%+AH37)^7)</f>
        <v>0</v>
      </c>
      <c r="CC37" s="257">
        <f t="shared" ref="CC37:CC64" si="83">+CE37-CD37</f>
        <v>2350765.0451651821</v>
      </c>
      <c r="CD37" s="257">
        <f t="shared" ref="CD37:CD63" si="84">BX37*((100%+(AH37*1.5)))</f>
        <v>0</v>
      </c>
      <c r="CE37" s="257">
        <f t="shared" ref="CE37:CE63" si="85">AB37*(100%+AH37)^7</f>
        <v>2350765.0451651821</v>
      </c>
      <c r="CF37" s="261">
        <f t="shared" ref="CF37:CF64" si="86">CC37/CE37</f>
        <v>1</v>
      </c>
    </row>
    <row r="38" spans="1:84" x14ac:dyDescent="0.35">
      <c r="A38" s="56" t="s">
        <v>73</v>
      </c>
      <c r="B38" s="290">
        <f>'2014 RAW DATA'!K7</f>
        <v>10434758.746595999</v>
      </c>
      <c r="C38" s="291">
        <f>'2014 RAW DATA'!J7</f>
        <v>4847276.3116379976</v>
      </c>
      <c r="D38" s="292">
        <f t="shared" si="50"/>
        <v>15282035.058233997</v>
      </c>
      <c r="E38" s="167">
        <f>B38/D38</f>
        <v>0.6828121193828649</v>
      </c>
      <c r="F38" s="173">
        <f>'2015 RAW DATA'!K7</f>
        <v>11345402.978904</v>
      </c>
      <c r="G38" s="293">
        <f>'2015 RAW DATA'!J7</f>
        <v>4945292.026482</v>
      </c>
      <c r="H38" s="172">
        <f t="shared" si="51"/>
        <v>16290695.005385999</v>
      </c>
      <c r="I38" s="167">
        <f>F38/H38</f>
        <v>0.69643455820350231</v>
      </c>
      <c r="J38" s="173">
        <f>'2016 RAW DATA'!K7</f>
        <v>11602340.767422004</v>
      </c>
      <c r="K38" s="293">
        <f>'2016 RAW DATA'!J7</f>
        <v>5291548.9054439999</v>
      </c>
      <c r="L38" s="172">
        <f t="shared" si="52"/>
        <v>16893889.672866002</v>
      </c>
      <c r="M38" s="167">
        <f t="shared" si="53"/>
        <v>0.68677734921265754</v>
      </c>
      <c r="N38" s="173">
        <f>+'2017 RAW DATA'!K7</f>
        <v>13336943</v>
      </c>
      <c r="O38" s="293">
        <f>+'2017 RAW DATA'!J7</f>
        <v>4891160</v>
      </c>
      <c r="P38" s="172">
        <f>+N38++O38</f>
        <v>18228103</v>
      </c>
      <c r="Q38" s="167">
        <f>N38/P38</f>
        <v>0.73166928012201815</v>
      </c>
      <c r="R38" s="165">
        <f>'2017 NEW RAW DATA '!K7</f>
        <v>16060034</v>
      </c>
      <c r="S38" s="165">
        <f>'2017 NEW RAW DATA '!J7</f>
        <v>4686814</v>
      </c>
      <c r="T38" s="165">
        <f t="shared" si="54"/>
        <v>20746848</v>
      </c>
      <c r="U38" s="167">
        <f t="shared" si="55"/>
        <v>0.77409513001685848</v>
      </c>
      <c r="V38" s="165">
        <f>'2018 RAW DATA'!K7</f>
        <v>15548859</v>
      </c>
      <c r="W38" s="165">
        <f>'2018 RAW DATA'!J7</f>
        <v>4761992</v>
      </c>
      <c r="X38" s="165">
        <f t="shared" si="56"/>
        <v>20310851</v>
      </c>
      <c r="Y38" s="167">
        <f t="shared" si="57"/>
        <v>0.76554443730595045</v>
      </c>
      <c r="Z38" s="306">
        <f>'2019 RAW DATA'!K7</f>
        <v>13452384</v>
      </c>
      <c r="AA38" s="165">
        <f>'2019 RAW DATA'!J7</f>
        <v>4482289</v>
      </c>
      <c r="AB38" s="165">
        <f>Z38+AA38</f>
        <v>17934673</v>
      </c>
      <c r="AC38" s="239">
        <f>Z38/AB38</f>
        <v>0.7500769041063643</v>
      </c>
      <c r="AD38" s="239"/>
      <c r="AE38" s="239"/>
      <c r="AF38" s="167"/>
      <c r="AG38" s="116">
        <v>1132030</v>
      </c>
      <c r="AH38" s="298">
        <v>0.03</v>
      </c>
      <c r="AI38" s="260">
        <f>Z38*(100%+AH38)</f>
        <v>13855955.52</v>
      </c>
      <c r="AJ38" s="256">
        <f t="shared" si="58"/>
        <v>1165990.9000000001</v>
      </c>
      <c r="AK38" s="257">
        <f t="shared" si="59"/>
        <v>12689964.619999999</v>
      </c>
      <c r="AL38" s="257">
        <f t="shared" si="60"/>
        <v>5782748.5700000022</v>
      </c>
      <c r="AM38" s="257">
        <f t="shared" si="61"/>
        <v>18472713.190000001</v>
      </c>
      <c r="AN38" s="261">
        <f t="shared" si="62"/>
        <v>0.68695726986491468</v>
      </c>
      <c r="AO38" s="173">
        <f>'2020 RAW DATA'!K7</f>
        <v>22710708</v>
      </c>
      <c r="AP38" s="172">
        <f>'2020 RAW DATA'!J7</f>
        <v>5530319</v>
      </c>
      <c r="AQ38" s="165">
        <f t="shared" ref="AQ38:AQ61" si="87">AO38+AP38</f>
        <v>28241027</v>
      </c>
      <c r="AR38" s="311">
        <f t="shared" si="48"/>
        <v>0.80417429578605626</v>
      </c>
      <c r="AS38" s="260">
        <f>AK38*(100%+AH38)</f>
        <v>13070663.558599999</v>
      </c>
      <c r="AT38" s="256">
        <f>+AG38*((100%+AH38)^2)</f>
        <v>1200970.6269999999</v>
      </c>
      <c r="AU38" s="257">
        <f>+AW38-AV38</f>
        <v>12983922.330049995</v>
      </c>
      <c r="AV38" s="257">
        <f>AL38*((100%+(AH38*1.5)))</f>
        <v>6042972.2556500016</v>
      </c>
      <c r="AW38" s="257">
        <f>AB38*(100%+AH38)^2</f>
        <v>19026894.585699998</v>
      </c>
      <c r="AX38" s="261">
        <f t="shared" si="63"/>
        <v>0.68239839515420941</v>
      </c>
      <c r="AY38" s="173">
        <f>'2021 RAW Data'!K7</f>
        <v>23604684</v>
      </c>
      <c r="AZ38" s="172">
        <f>'2021 RAW Data'!J7</f>
        <v>5883293</v>
      </c>
      <c r="BA38" s="165">
        <f t="shared" si="64"/>
        <v>29487977</v>
      </c>
      <c r="BB38" s="311">
        <f t="shared" si="49"/>
        <v>0.80048502479502071</v>
      </c>
      <c r="BC38" s="260">
        <f>AU38*(100%+AH38)</f>
        <v>13373439.999951495</v>
      </c>
      <c r="BD38" s="256">
        <f>+AG38*((100%+AH38)^3)</f>
        <v>1236999.74581</v>
      </c>
      <c r="BE38" s="257">
        <f>+BG38-BF38</f>
        <v>13282795.416116748</v>
      </c>
      <c r="BF38" s="257">
        <f>AV38*((100%+(AH38*1.5)))</f>
        <v>6314906.0071542514</v>
      </c>
      <c r="BG38" s="257">
        <f>AB38*(100%+AH38)^3</f>
        <v>19597701.423271</v>
      </c>
      <c r="BH38" s="261">
        <f t="shared" si="65"/>
        <v>0.67777312906422227</v>
      </c>
      <c r="BI38" s="260">
        <f t="shared" si="66"/>
        <v>13681279.278600251</v>
      </c>
      <c r="BJ38" s="256">
        <f t="shared" si="67"/>
        <v>1274109.7381843</v>
      </c>
      <c r="BK38" s="257">
        <f>+BM38-BL38</f>
        <v>13586555.688492935</v>
      </c>
      <c r="BL38" s="257">
        <f t="shared" si="68"/>
        <v>6599076.7774761925</v>
      </c>
      <c r="BM38" s="257">
        <f t="shared" ref="BM38:BM64" si="88">AB38*(100%+AH38)^4</f>
        <v>20185632.465969127</v>
      </c>
      <c r="BN38" s="261">
        <f t="shared" si="69"/>
        <v>0.67308050473020609</v>
      </c>
      <c r="BO38" s="260">
        <f t="shared" si="70"/>
        <v>13994152.359147724</v>
      </c>
      <c r="BP38" s="256">
        <f t="shared" si="71"/>
        <v>1312333.0303298288</v>
      </c>
      <c r="BQ38" s="257">
        <f>+BS38-BR38</f>
        <v>13895166.207485581</v>
      </c>
      <c r="BR38" s="257">
        <f t="shared" si="72"/>
        <v>6896035.2324626204</v>
      </c>
      <c r="BS38" s="257">
        <f t="shared" si="73"/>
        <v>20791201.439948201</v>
      </c>
      <c r="BT38" s="261">
        <f t="shared" si="74"/>
        <v>0.66831954120685966</v>
      </c>
      <c r="BU38" s="260">
        <f t="shared" si="75"/>
        <v>14312021.193710148</v>
      </c>
      <c r="BV38" s="256">
        <f t="shared" si="76"/>
        <v>1351703.0212397238</v>
      </c>
      <c r="BW38" s="257">
        <f t="shared" si="77"/>
        <v>14208580.665223211</v>
      </c>
      <c r="BX38" s="257">
        <f t="shared" si="78"/>
        <v>7206356.8179234378</v>
      </c>
      <c r="BY38" s="257">
        <f t="shared" si="79"/>
        <v>21414937.483146649</v>
      </c>
      <c r="BZ38" s="261">
        <f t="shared" si="80"/>
        <v>0.66348924326327019</v>
      </c>
      <c r="CA38" s="260">
        <f t="shared" si="81"/>
        <v>14634838.085179908</v>
      </c>
      <c r="CB38" s="256">
        <f t="shared" si="82"/>
        <v>1392254.1118769157</v>
      </c>
      <c r="CC38" s="257">
        <f t="shared" si="83"/>
        <v>14526742.732911058</v>
      </c>
      <c r="CD38" s="257">
        <f t="shared" si="84"/>
        <v>7530642.8747299919</v>
      </c>
      <c r="CE38" s="257">
        <f t="shared" si="85"/>
        <v>22057385.607641049</v>
      </c>
      <c r="CF38" s="261">
        <f t="shared" si="86"/>
        <v>0.65858860117487139</v>
      </c>
    </row>
    <row r="39" spans="1:84" x14ac:dyDescent="0.35">
      <c r="A39" s="56" t="s">
        <v>74</v>
      </c>
      <c r="B39" s="290">
        <f>'2014 RAW DATA'!K8</f>
        <v>4028556.889374001</v>
      </c>
      <c r="C39" s="291">
        <f>'2014 RAW DATA'!J8</f>
        <v>320153.153796</v>
      </c>
      <c r="D39" s="292">
        <f t="shared" si="50"/>
        <v>4348710.0431700014</v>
      </c>
      <c r="E39" s="167">
        <f>B39/D39</f>
        <v>0.92637974235628184</v>
      </c>
      <c r="F39" s="173">
        <f>'2015 RAW DATA'!K8</f>
        <v>4305393.4993740004</v>
      </c>
      <c r="G39" s="293">
        <f>'2015 RAW DATA'!J8</f>
        <v>330282.22606200003</v>
      </c>
      <c r="H39" s="172">
        <f t="shared" si="51"/>
        <v>4635675.7254360002</v>
      </c>
      <c r="I39" s="167">
        <f>F39/H39</f>
        <v>0.92875208586102387</v>
      </c>
      <c r="J39" s="173">
        <f>'2016 RAW DATA'!K8</f>
        <v>4779857.3207280012</v>
      </c>
      <c r="K39" s="293">
        <f>'2016 RAW DATA'!J8</f>
        <v>27405.264479999998</v>
      </c>
      <c r="L39" s="172">
        <f t="shared" si="52"/>
        <v>4807262.5852080015</v>
      </c>
      <c r="M39" s="167">
        <f t="shared" si="53"/>
        <v>0.99429919543726886</v>
      </c>
      <c r="N39" s="173">
        <f>+'2017 RAW DATA'!K8</f>
        <v>4980262</v>
      </c>
      <c r="O39" s="293">
        <f>+'2017 RAW DATA'!J8</f>
        <v>0</v>
      </c>
      <c r="P39" s="172">
        <f>+N39++O39</f>
        <v>4980262</v>
      </c>
      <c r="Q39" s="167">
        <f t="shared" ref="Q39:Q62" si="89">N39/P39</f>
        <v>1</v>
      </c>
      <c r="R39" s="165">
        <f>'2017 NEW RAW DATA '!K8</f>
        <v>4588784</v>
      </c>
      <c r="S39" s="165">
        <f>'2017 NEW RAW DATA '!J8</f>
        <v>0</v>
      </c>
      <c r="T39" s="165">
        <f t="shared" si="54"/>
        <v>4588784</v>
      </c>
      <c r="U39" s="167">
        <f t="shared" si="55"/>
        <v>1</v>
      </c>
      <c r="V39" s="165">
        <f>'2018 RAW DATA'!K8</f>
        <v>4805198</v>
      </c>
      <c r="W39" s="165">
        <f>'2018 RAW DATA'!J8</f>
        <v>0</v>
      </c>
      <c r="X39" s="165">
        <f t="shared" si="56"/>
        <v>4805198</v>
      </c>
      <c r="Y39" s="167">
        <f t="shared" si="57"/>
        <v>1</v>
      </c>
      <c r="Z39" s="306">
        <f>'2019 RAW DATA'!K8</f>
        <v>4478053</v>
      </c>
      <c r="AA39" s="165">
        <f>'2019 RAW DATA'!J8</f>
        <v>39621</v>
      </c>
      <c r="AB39" s="165">
        <f>Z39+AA39</f>
        <v>4517674</v>
      </c>
      <c r="AC39" s="239">
        <f>Z39/AB39</f>
        <v>0.99122977886407915</v>
      </c>
      <c r="AD39" s="239"/>
      <c r="AE39" s="239"/>
      <c r="AF39" s="167"/>
      <c r="AG39" s="116">
        <v>32365</v>
      </c>
      <c r="AH39" s="298">
        <v>0.01</v>
      </c>
      <c r="AI39" s="260">
        <f>Z39*(100%+AH39)</f>
        <v>4522833.53</v>
      </c>
      <c r="AJ39" s="256">
        <f t="shared" si="58"/>
        <v>32688.65</v>
      </c>
      <c r="AK39" s="257">
        <f t="shared" si="59"/>
        <v>4490144.88</v>
      </c>
      <c r="AL39" s="257">
        <f t="shared" si="60"/>
        <v>72705.860000000335</v>
      </c>
      <c r="AM39" s="257">
        <f t="shared" si="61"/>
        <v>4562850.74</v>
      </c>
      <c r="AN39" s="261">
        <f t="shared" si="62"/>
        <v>0.98406569398323107</v>
      </c>
      <c r="AO39" s="173">
        <f>'2020 RAW DATA'!K8</f>
        <v>10866264</v>
      </c>
      <c r="AP39" s="172">
        <f>'2020 RAW DATA'!J8</f>
        <v>0</v>
      </c>
      <c r="AQ39" s="165">
        <f t="shared" si="87"/>
        <v>10866264</v>
      </c>
      <c r="AR39" s="311">
        <f t="shared" si="48"/>
        <v>1</v>
      </c>
      <c r="AS39" s="260">
        <f>AK39*(100%+AH39)</f>
        <v>4535046.3288000003</v>
      </c>
      <c r="AT39" s="256">
        <f>+AG39*((100%+AH39)^2)</f>
        <v>33015.536500000002</v>
      </c>
      <c r="AU39" s="257">
        <f>+AW39-AV39</f>
        <v>4534682.7994999997</v>
      </c>
      <c r="AV39" s="257">
        <f>AL39*((100%+(AH39*1.5)))</f>
        <v>73796.447900000334</v>
      </c>
      <c r="AW39" s="257">
        <f>AB39*(100%+AH39)^2</f>
        <v>4608479.2473999998</v>
      </c>
      <c r="AX39" s="261">
        <f t="shared" si="63"/>
        <v>0.98398681128017784</v>
      </c>
      <c r="AY39" s="173">
        <f>'2021 RAW Data'!K8</f>
        <v>10548798</v>
      </c>
      <c r="AZ39" s="172">
        <f>'2021 RAW Data'!J8</f>
        <v>240526</v>
      </c>
      <c r="BA39" s="165">
        <f t="shared" si="64"/>
        <v>10789324</v>
      </c>
      <c r="BB39" s="311">
        <f t="shared" si="49"/>
        <v>0.97770703706738249</v>
      </c>
      <c r="BC39" s="260">
        <f>AU39*(100%+AH39)</f>
        <v>4580029.6274950001</v>
      </c>
      <c r="BD39" s="256">
        <f>+AG39*((100%+AH39)^3)</f>
        <v>33345.691865000001</v>
      </c>
      <c r="BE39" s="257">
        <f>+BG39-BF39</f>
        <v>4579660.6452554995</v>
      </c>
      <c r="BF39" s="257">
        <f>AV39*((100%+(AH39*1.5)))</f>
        <v>74903.39461850033</v>
      </c>
      <c r="BG39" s="257">
        <f>AB39*(100%+AH39)^3</f>
        <v>4654564.0398739995</v>
      </c>
      <c r="BH39" s="261">
        <f t="shared" si="65"/>
        <v>0.98390753806869358</v>
      </c>
      <c r="BI39" s="260">
        <f t="shared" si="66"/>
        <v>4625457.2517080549</v>
      </c>
      <c r="BJ39" s="256">
        <f t="shared" si="67"/>
        <v>33679.148783650002</v>
      </c>
      <c r="BK39" s="257">
        <f>+BM39-BL39</f>
        <v>4625082.7347349627</v>
      </c>
      <c r="BL39" s="257">
        <f t="shared" si="68"/>
        <v>76026.945537777821</v>
      </c>
      <c r="BM39" s="257">
        <f t="shared" si="88"/>
        <v>4701109.6802727403</v>
      </c>
      <c r="BN39" s="261">
        <f t="shared" si="69"/>
        <v>0.98382787241556835</v>
      </c>
      <c r="BO39" s="260">
        <f t="shared" si="70"/>
        <v>4671333.5620823121</v>
      </c>
      <c r="BP39" s="256">
        <f t="shared" si="71"/>
        <v>34015.940271486499</v>
      </c>
      <c r="BQ39" s="257">
        <f>+BS39-BR39</f>
        <v>4670953.4273546226</v>
      </c>
      <c r="BR39" s="257">
        <f t="shared" si="72"/>
        <v>77167.349720844475</v>
      </c>
      <c r="BS39" s="257">
        <f t="shared" si="73"/>
        <v>4748120.7770754667</v>
      </c>
      <c r="BT39" s="261">
        <f t="shared" si="74"/>
        <v>0.98374781237802167</v>
      </c>
      <c r="BU39" s="260">
        <f t="shared" si="75"/>
        <v>4717662.9616281688</v>
      </c>
      <c r="BV39" s="256">
        <f t="shared" si="76"/>
        <v>34356.099674201367</v>
      </c>
      <c r="BW39" s="257">
        <f t="shared" si="77"/>
        <v>4717277.124879566</v>
      </c>
      <c r="BX39" s="257">
        <f t="shared" si="78"/>
        <v>78324.859966657139</v>
      </c>
      <c r="BY39" s="257">
        <f t="shared" si="79"/>
        <v>4795601.9848462231</v>
      </c>
      <c r="BZ39" s="261">
        <f t="shared" si="80"/>
        <v>0.9836673560036554</v>
      </c>
      <c r="CA39" s="260">
        <f t="shared" si="81"/>
        <v>4764449.896128362</v>
      </c>
      <c r="CB39" s="256">
        <f t="shared" si="82"/>
        <v>34699.660670943376</v>
      </c>
      <c r="CC39" s="257">
        <f t="shared" si="83"/>
        <v>4764058.2718285266</v>
      </c>
      <c r="CD39" s="257">
        <f t="shared" si="84"/>
        <v>79499.732866156992</v>
      </c>
      <c r="CE39" s="257">
        <f t="shared" si="85"/>
        <v>4843558.0046946835</v>
      </c>
      <c r="CF39" s="261">
        <f t="shared" si="86"/>
        <v>0.98358650133040615</v>
      </c>
    </row>
    <row r="40" spans="1:84" x14ac:dyDescent="0.35">
      <c r="A40" s="56" t="s">
        <v>75</v>
      </c>
      <c r="B40" s="290"/>
      <c r="C40" s="291"/>
      <c r="D40" s="292"/>
      <c r="E40" s="167"/>
      <c r="F40" s="173"/>
      <c r="G40" s="293"/>
      <c r="H40" s="172"/>
      <c r="I40" s="167"/>
      <c r="J40" s="173"/>
      <c r="K40" s="293"/>
      <c r="L40" s="172"/>
      <c r="M40" s="167"/>
      <c r="N40" s="173">
        <f>+'2017 RAW DATA'!K9</f>
        <v>1680811</v>
      </c>
      <c r="O40" s="293">
        <f>+'2017 RAW DATA'!J9</f>
        <v>52306</v>
      </c>
      <c r="P40" s="172">
        <f t="shared" ref="P40:P60" si="90">+N40++O40</f>
        <v>1733117</v>
      </c>
      <c r="Q40" s="167">
        <f t="shared" si="89"/>
        <v>0.96981969480421693</v>
      </c>
      <c r="R40" s="165">
        <f>'2017 NEW RAW DATA '!K9</f>
        <v>1604004</v>
      </c>
      <c r="S40" s="165">
        <f>'2017 NEW RAW DATA '!J9</f>
        <v>23511</v>
      </c>
      <c r="T40" s="165">
        <f t="shared" si="54"/>
        <v>1627515</v>
      </c>
      <c r="U40" s="167">
        <f t="shared" si="55"/>
        <v>0.98555405019308573</v>
      </c>
      <c r="V40" s="165">
        <f>'2018 RAW DATA'!K9</f>
        <v>1854384</v>
      </c>
      <c r="W40" s="165">
        <f>'2018 RAW DATA'!J9</f>
        <v>27781</v>
      </c>
      <c r="X40" s="165">
        <f t="shared" si="56"/>
        <v>1882165</v>
      </c>
      <c r="Y40" s="167">
        <f t="shared" si="57"/>
        <v>0.98523987004327462</v>
      </c>
      <c r="Z40" s="306">
        <f>'2019 RAW DATA'!K9</f>
        <v>1617013</v>
      </c>
      <c r="AA40" s="165">
        <f>'2019 RAW DATA'!J9</f>
        <v>27722</v>
      </c>
      <c r="AB40" s="165">
        <f>Z40+AA40</f>
        <v>1644735</v>
      </c>
      <c r="AC40" s="239">
        <f>Z40/AB40</f>
        <v>0.98314500512240577</v>
      </c>
      <c r="AD40" s="239"/>
      <c r="AE40" s="239"/>
      <c r="AF40" s="167"/>
      <c r="AG40" s="116">
        <v>2028</v>
      </c>
      <c r="AH40" s="298">
        <v>0.03</v>
      </c>
      <c r="AI40" s="260">
        <f>Z40*(100%+AH40)</f>
        <v>1665523.3900000001</v>
      </c>
      <c r="AJ40" s="256">
        <f t="shared" si="58"/>
        <v>2088.84</v>
      </c>
      <c r="AK40" s="257">
        <f t="shared" si="59"/>
        <v>1663434.55</v>
      </c>
      <c r="AL40" s="257">
        <f t="shared" si="60"/>
        <v>30642.5</v>
      </c>
      <c r="AM40" s="257">
        <f t="shared" si="61"/>
        <v>1694077.05</v>
      </c>
      <c r="AN40" s="261">
        <f t="shared" si="62"/>
        <v>0.98191197974141731</v>
      </c>
      <c r="AO40" s="173">
        <f>'2020 RAW DATA'!K9</f>
        <v>4886900</v>
      </c>
      <c r="AP40" s="172">
        <f>'2020 RAW DATA'!J9</f>
        <v>115226</v>
      </c>
      <c r="AQ40" s="165">
        <f t="shared" si="87"/>
        <v>5002126</v>
      </c>
      <c r="AR40" s="311">
        <f t="shared" si="48"/>
        <v>0.97696459465435292</v>
      </c>
      <c r="AS40" s="260">
        <f>AK40*(100%+AH40)</f>
        <v>1713337.5865000002</v>
      </c>
      <c r="AT40" s="256">
        <f>+AG40*((100%+AH40)^2)</f>
        <v>2151.5052000000001</v>
      </c>
      <c r="AU40" s="257">
        <f>+AW40-AV40</f>
        <v>1712877.9489999998</v>
      </c>
      <c r="AV40" s="257">
        <f>AL40*((100%+(AH40*1.5)))</f>
        <v>32021.412499999999</v>
      </c>
      <c r="AW40" s="257">
        <f>AB40*(100%+AH40)^2</f>
        <v>1744899.3614999999</v>
      </c>
      <c r="AX40" s="261">
        <f t="shared" si="63"/>
        <v>0.98164856197066119</v>
      </c>
      <c r="AY40" s="173">
        <f>'2021 RAW Data'!K9</f>
        <v>2463285</v>
      </c>
      <c r="AZ40" s="172">
        <f>'2021 RAW Data'!J9</f>
        <v>24121</v>
      </c>
      <c r="BA40" s="165">
        <f t="shared" si="64"/>
        <v>2487406</v>
      </c>
      <c r="BB40" s="311">
        <f t="shared" si="49"/>
        <v>0.99030274912901228</v>
      </c>
      <c r="BC40" s="260">
        <f>AU40*(100%+AH40)</f>
        <v>1764264.2874699999</v>
      </c>
      <c r="BD40" s="256">
        <f>+AG40*((100%+AH40)^3)</f>
        <v>2216.0503560000002</v>
      </c>
      <c r="BE40" s="257">
        <f>+BG40-BF40</f>
        <v>1763783.9662825</v>
      </c>
      <c r="BF40" s="257">
        <f>AV40*((100%+(AH40*1.5)))</f>
        <v>33462.3760625</v>
      </c>
      <c r="BG40" s="257">
        <f>AB40*(100%+AH40)^3</f>
        <v>1797246.342345</v>
      </c>
      <c r="BH40" s="261">
        <f t="shared" si="65"/>
        <v>0.98138130801877765</v>
      </c>
      <c r="BI40" s="260">
        <f t="shared" si="66"/>
        <v>1816697.4852709749</v>
      </c>
      <c r="BJ40" s="256">
        <f t="shared" si="67"/>
        <v>2282.5318666799999</v>
      </c>
      <c r="BK40" s="257">
        <f>+BM40-BL40</f>
        <v>1816195.5496300373</v>
      </c>
      <c r="BL40" s="257">
        <f t="shared" si="68"/>
        <v>34968.182985312495</v>
      </c>
      <c r="BM40" s="257">
        <f t="shared" si="88"/>
        <v>1851163.7326153498</v>
      </c>
      <c r="BN40" s="261">
        <f t="shared" si="69"/>
        <v>0.9811101620190511</v>
      </c>
      <c r="BO40" s="260">
        <f t="shared" si="70"/>
        <v>1870681.4161189385</v>
      </c>
      <c r="BP40" s="256">
        <f t="shared" si="71"/>
        <v>2351.0078226803998</v>
      </c>
      <c r="BQ40" s="257">
        <f>+BS40-BR40</f>
        <v>1870156.8933741585</v>
      </c>
      <c r="BR40" s="257">
        <f t="shared" si="72"/>
        <v>36541.751219651553</v>
      </c>
      <c r="BS40" s="257">
        <f t="shared" si="73"/>
        <v>1906698.6445938102</v>
      </c>
      <c r="BT40" s="261">
        <f t="shared" si="74"/>
        <v>0.9808350672911732</v>
      </c>
      <c r="BU40" s="260">
        <f t="shared" si="75"/>
        <v>1926261.6001753833</v>
      </c>
      <c r="BV40" s="256">
        <f t="shared" si="76"/>
        <v>2421.5380573608118</v>
      </c>
      <c r="BW40" s="257">
        <f t="shared" si="77"/>
        <v>1925713.4739070889</v>
      </c>
      <c r="BX40" s="257">
        <f t="shared" si="78"/>
        <v>38186.130024535873</v>
      </c>
      <c r="BY40" s="257">
        <f t="shared" si="79"/>
        <v>1963899.6039316247</v>
      </c>
      <c r="BZ40" s="261">
        <f t="shared" si="80"/>
        <v>0.98055596632939424</v>
      </c>
      <c r="CA40" s="260">
        <f t="shared" si="81"/>
        <v>1983484.8781243016</v>
      </c>
      <c r="CB40" s="256">
        <f t="shared" si="82"/>
        <v>2494.1841990816365</v>
      </c>
      <c r="CC40" s="257">
        <f t="shared" si="83"/>
        <v>1982912.0861739335</v>
      </c>
      <c r="CD40" s="257">
        <f t="shared" si="84"/>
        <v>39904.505875639981</v>
      </c>
      <c r="CE40" s="257">
        <f t="shared" si="85"/>
        <v>2022816.5920495735</v>
      </c>
      <c r="CF40" s="261">
        <f t="shared" si="86"/>
        <v>0.98027280079050183</v>
      </c>
    </row>
    <row r="41" spans="1:84" x14ac:dyDescent="0.35">
      <c r="A41" s="59" t="s">
        <v>76</v>
      </c>
      <c r="B41" s="290"/>
      <c r="C41" s="291"/>
      <c r="D41" s="292"/>
      <c r="E41" s="167"/>
      <c r="F41" s="173"/>
      <c r="G41" s="293"/>
      <c r="H41" s="172"/>
      <c r="I41" s="167"/>
      <c r="J41" s="173"/>
      <c r="K41" s="293"/>
      <c r="L41" s="172"/>
      <c r="M41" s="167"/>
      <c r="N41" s="173"/>
      <c r="O41" s="293"/>
      <c r="P41" s="172"/>
      <c r="Q41" s="167"/>
      <c r="R41" s="173"/>
      <c r="S41" s="293"/>
      <c r="T41" s="172"/>
      <c r="U41" s="167"/>
      <c r="V41" s="172"/>
      <c r="W41" s="293"/>
      <c r="X41" s="172"/>
      <c r="Y41" s="167"/>
      <c r="Z41" s="173"/>
      <c r="AA41" s="293"/>
      <c r="AB41" s="172"/>
      <c r="AC41" s="239"/>
      <c r="AD41" s="239"/>
      <c r="AE41" s="239"/>
      <c r="AF41" s="167"/>
      <c r="AG41" s="303"/>
      <c r="AH41" s="298"/>
      <c r="AI41" s="260"/>
      <c r="AJ41" s="256"/>
      <c r="AK41" s="257"/>
      <c r="AL41" s="257"/>
      <c r="AM41" s="257"/>
      <c r="AN41" s="261"/>
      <c r="AO41" s="173"/>
      <c r="AP41" s="172"/>
      <c r="AQ41" s="165"/>
      <c r="AR41" s="311"/>
      <c r="AS41" s="260"/>
      <c r="AT41" s="256"/>
      <c r="AU41" s="257"/>
      <c r="AV41" s="257"/>
      <c r="AW41" s="257"/>
      <c r="AX41" s="261"/>
      <c r="AY41" s="173"/>
      <c r="AZ41" s="172"/>
      <c r="BA41" s="165"/>
      <c r="BB41" s="311"/>
      <c r="BC41" s="260"/>
      <c r="BD41" s="256"/>
      <c r="BE41" s="257"/>
      <c r="BF41" s="257"/>
      <c r="BG41" s="257"/>
      <c r="BH41" s="261"/>
      <c r="BI41" s="260"/>
      <c r="BJ41" s="256"/>
      <c r="BK41" s="257"/>
      <c r="BL41" s="257"/>
      <c r="BM41" s="257"/>
      <c r="BN41" s="261"/>
      <c r="BO41" s="260"/>
      <c r="BP41" s="256"/>
      <c r="BQ41" s="257"/>
      <c r="BR41" s="257"/>
      <c r="BS41" s="257"/>
      <c r="BT41" s="261"/>
      <c r="BU41" s="260"/>
      <c r="BV41" s="256"/>
      <c r="BW41" s="257"/>
      <c r="BX41" s="257"/>
      <c r="BY41" s="257"/>
      <c r="BZ41" s="261"/>
      <c r="CA41" s="260"/>
      <c r="CB41" s="256"/>
      <c r="CC41" s="257"/>
      <c r="CD41" s="257"/>
      <c r="CE41" s="257"/>
      <c r="CF41" s="261"/>
    </row>
    <row r="42" spans="1:84" x14ac:dyDescent="0.35">
      <c r="A42" s="56" t="s">
        <v>77</v>
      </c>
      <c r="B42" s="290">
        <f>'2014 RAW DATA'!K11</f>
        <v>2125476.1758539998</v>
      </c>
      <c r="C42" s="291">
        <f>'2014 RAW DATA'!J11</f>
        <v>0</v>
      </c>
      <c r="D42" s="292">
        <f t="shared" si="50"/>
        <v>2125476.1758539998</v>
      </c>
      <c r="E42" s="167">
        <f t="shared" ref="E42:E64" si="91">B42/D42</f>
        <v>1</v>
      </c>
      <c r="F42" s="173">
        <f>'2015 RAW DATA'!K11</f>
        <v>2302528.8927539992</v>
      </c>
      <c r="G42" s="293">
        <f>'2015 RAW DATA'!J11</f>
        <v>0</v>
      </c>
      <c r="H42" s="172">
        <f t="shared" si="51"/>
        <v>2302528.8927539992</v>
      </c>
      <c r="I42" s="167">
        <f>F42/H42</f>
        <v>1</v>
      </c>
      <c r="J42" s="173">
        <f>'2016 RAW DATA'!K11</f>
        <v>2348468.613744</v>
      </c>
      <c r="K42" s="293">
        <f>'2016 RAW DATA'!J11</f>
        <v>39373.026588000008</v>
      </c>
      <c r="L42" s="172">
        <f t="shared" si="52"/>
        <v>2387841.6403319999</v>
      </c>
      <c r="M42" s="167">
        <f t="shared" si="53"/>
        <v>0.98351103945799123</v>
      </c>
      <c r="N42" s="173">
        <f>+'2017 RAW DATA'!K11</f>
        <v>2281165</v>
      </c>
      <c r="O42" s="293">
        <f>+'2017 RAW DATA'!J11</f>
        <v>0</v>
      </c>
      <c r="P42" s="172">
        <f t="shared" si="90"/>
        <v>2281165</v>
      </c>
      <c r="Q42" s="167">
        <f t="shared" si="89"/>
        <v>1</v>
      </c>
      <c r="R42" s="165">
        <f>'2017 NEW RAW DATA '!K11</f>
        <v>2210501</v>
      </c>
      <c r="S42" s="165">
        <f>'2017 NEW RAW DATA '!J11</f>
        <v>0</v>
      </c>
      <c r="T42" s="165">
        <f t="shared" si="54"/>
        <v>2210501</v>
      </c>
      <c r="U42" s="167">
        <f t="shared" si="55"/>
        <v>1</v>
      </c>
      <c r="V42" s="165">
        <f>'2018 RAW DATA'!K11</f>
        <v>2166576</v>
      </c>
      <c r="W42" s="165">
        <f>'2018 RAW DATA'!J11</f>
        <v>0</v>
      </c>
      <c r="X42" s="165">
        <f t="shared" si="56"/>
        <v>2166576</v>
      </c>
      <c r="Y42" s="167">
        <f t="shared" si="57"/>
        <v>1</v>
      </c>
      <c r="Z42" s="306">
        <f>'2019 RAW DATA'!K11</f>
        <v>1763051</v>
      </c>
      <c r="AA42" s="165">
        <f>'2019 RAW DATA'!J11</f>
        <v>0</v>
      </c>
      <c r="AB42" s="165">
        <f t="shared" ref="AB42:AB52" si="92">Z42+AA42</f>
        <v>1763051</v>
      </c>
      <c r="AC42" s="239">
        <f t="shared" ref="AC42:AC52" si="93">Z42/AB42</f>
        <v>1</v>
      </c>
      <c r="AD42" s="239"/>
      <c r="AE42" s="239"/>
      <c r="AF42" s="167"/>
      <c r="AG42" s="116">
        <v>0</v>
      </c>
      <c r="AH42" s="298">
        <v>0.03</v>
      </c>
      <c r="AI42" s="260">
        <f t="shared" ref="AI42:AI52" si="94">Z42*(100%+AH42)</f>
        <v>1815942.53</v>
      </c>
      <c r="AJ42" s="256">
        <f t="shared" si="58"/>
        <v>0</v>
      </c>
      <c r="AK42" s="257">
        <f t="shared" si="59"/>
        <v>1815942.53</v>
      </c>
      <c r="AL42" s="257">
        <f t="shared" si="60"/>
        <v>0</v>
      </c>
      <c r="AM42" s="257">
        <f t="shared" si="61"/>
        <v>1815942.53</v>
      </c>
      <c r="AN42" s="261">
        <f t="shared" si="62"/>
        <v>1</v>
      </c>
      <c r="AO42" s="173">
        <f>'2020 RAW DATA'!K11</f>
        <v>2975446</v>
      </c>
      <c r="AP42" s="172">
        <f>'2020 RAW DATA'!J11</f>
        <v>22531</v>
      </c>
      <c r="AQ42" s="165">
        <f t="shared" si="87"/>
        <v>2997977</v>
      </c>
      <c r="AR42" s="311">
        <f t="shared" si="48"/>
        <v>0.99248459878111139</v>
      </c>
      <c r="AS42" s="260">
        <f t="shared" ref="AS42:AS52" si="95">AK42*(100%+AH42)</f>
        <v>1870420.8059</v>
      </c>
      <c r="AT42" s="256">
        <f t="shared" ref="AT42:AT52" si="96">+AG42*((100%+AH42)^2)</f>
        <v>0</v>
      </c>
      <c r="AU42" s="257">
        <f t="shared" ref="AU42:AU52" si="97">+AW42-AV42</f>
        <v>1870420.8058999998</v>
      </c>
      <c r="AV42" s="257">
        <f t="shared" ref="AV42:AV52" si="98">AL42*((100%+(AH42*1.5)))</f>
        <v>0</v>
      </c>
      <c r="AW42" s="257">
        <f t="shared" ref="AW42:AW52" si="99">AB42*(100%+AH42)^2</f>
        <v>1870420.8058999998</v>
      </c>
      <c r="AX42" s="261">
        <f t="shared" si="63"/>
        <v>1</v>
      </c>
      <c r="AY42" s="173">
        <f>'2021 RAW Data'!K11</f>
        <v>2936627</v>
      </c>
      <c r="AZ42" s="172">
        <f>'2021 RAW Data'!J11</f>
        <v>23198</v>
      </c>
      <c r="BA42" s="165">
        <f t="shared" si="64"/>
        <v>2959825</v>
      </c>
      <c r="BB42" s="311">
        <f t="shared" si="49"/>
        <v>0.99216237446470656</v>
      </c>
      <c r="BC42" s="260">
        <f t="shared" ref="BC42:BC52" si="100">AU42*(100%+AH42)</f>
        <v>1926533.4300769998</v>
      </c>
      <c r="BD42" s="256">
        <f t="shared" ref="BD42:BD52" si="101">+AG42*((100%+AH42)^3)</f>
        <v>0</v>
      </c>
      <c r="BE42" s="257">
        <f t="shared" ref="BE42:BE52" si="102">+BG42-BF42</f>
        <v>1926533.4300770001</v>
      </c>
      <c r="BF42" s="257">
        <f t="shared" ref="BF42:BF52" si="103">AV42*((100%+(AH42*1.5)))</f>
        <v>0</v>
      </c>
      <c r="BG42" s="257">
        <f t="shared" ref="BG42:BG52" si="104">AB42*(100%+AH42)^3</f>
        <v>1926533.4300770001</v>
      </c>
      <c r="BH42" s="261">
        <f t="shared" si="65"/>
        <v>1</v>
      </c>
      <c r="BI42" s="260">
        <f t="shared" si="66"/>
        <v>1984329.4329793102</v>
      </c>
      <c r="BJ42" s="256">
        <f t="shared" si="67"/>
        <v>0</v>
      </c>
      <c r="BK42" s="257">
        <f t="shared" ref="BK42:BK52" si="105">+BM42-BL42</f>
        <v>1984329.4329793099</v>
      </c>
      <c r="BL42" s="257">
        <f t="shared" si="68"/>
        <v>0</v>
      </c>
      <c r="BM42" s="257">
        <f t="shared" si="88"/>
        <v>1984329.4329793099</v>
      </c>
      <c r="BN42" s="261">
        <f t="shared" si="69"/>
        <v>1</v>
      </c>
      <c r="BO42" s="260">
        <f t="shared" si="70"/>
        <v>2043859.3159686893</v>
      </c>
      <c r="BP42" s="256">
        <f t="shared" si="71"/>
        <v>0</v>
      </c>
      <c r="BQ42" s="257">
        <f t="shared" ref="BQ42:BQ52" si="106">+BS42-BR42</f>
        <v>2043859.315968689</v>
      </c>
      <c r="BR42" s="257">
        <f t="shared" si="72"/>
        <v>0</v>
      </c>
      <c r="BS42" s="257">
        <f t="shared" si="73"/>
        <v>2043859.315968689</v>
      </c>
      <c r="BT42" s="261">
        <f t="shared" si="74"/>
        <v>1</v>
      </c>
      <c r="BU42" s="260">
        <f t="shared" si="75"/>
        <v>2105175.0954477498</v>
      </c>
      <c r="BV42" s="256">
        <f t="shared" si="76"/>
        <v>0</v>
      </c>
      <c r="BW42" s="257">
        <f t="shared" si="77"/>
        <v>2105175.0954477498</v>
      </c>
      <c r="BX42" s="257">
        <f t="shared" si="78"/>
        <v>0</v>
      </c>
      <c r="BY42" s="257">
        <f t="shared" si="79"/>
        <v>2105175.0954477498</v>
      </c>
      <c r="BZ42" s="261">
        <f t="shared" si="80"/>
        <v>1</v>
      </c>
      <c r="CA42" s="260">
        <f t="shared" si="81"/>
        <v>2168330.3483111826</v>
      </c>
      <c r="CB42" s="256">
        <f t="shared" si="82"/>
        <v>0</v>
      </c>
      <c r="CC42" s="257">
        <f t="shared" si="83"/>
        <v>2168330.3483111826</v>
      </c>
      <c r="CD42" s="257">
        <f t="shared" si="84"/>
        <v>0</v>
      </c>
      <c r="CE42" s="257">
        <f t="shared" si="85"/>
        <v>2168330.3483111826</v>
      </c>
      <c r="CF42" s="261">
        <f t="shared" si="86"/>
        <v>1</v>
      </c>
    </row>
    <row r="43" spans="1:84" x14ac:dyDescent="0.35">
      <c r="A43" s="56" t="s">
        <v>78</v>
      </c>
      <c r="B43" s="290">
        <f>'2014 RAW DATA'!K12</f>
        <v>63627872.462429985</v>
      </c>
      <c r="C43" s="291">
        <f>'2014 RAW DATA'!J12</f>
        <v>20135143.075920012</v>
      </c>
      <c r="D43" s="292">
        <f t="shared" si="50"/>
        <v>83763015.538350001</v>
      </c>
      <c r="E43" s="167">
        <f t="shared" si="91"/>
        <v>0.75961773884917794</v>
      </c>
      <c r="F43" s="173">
        <f>'2015 RAW DATA'!K12</f>
        <v>64207396.88226594</v>
      </c>
      <c r="G43" s="293">
        <f>'2015 RAW DATA'!J12</f>
        <v>24272607.289482024</v>
      </c>
      <c r="H43" s="172">
        <f t="shared" si="51"/>
        <v>88480004.171747968</v>
      </c>
      <c r="I43" s="167">
        <f>F43/H43</f>
        <v>0.72567126870420773</v>
      </c>
      <c r="J43" s="173">
        <f>'2016 RAW DATA'!K12</f>
        <v>65766114.368916057</v>
      </c>
      <c r="K43" s="293">
        <f>'2016 RAW DATA'!J12</f>
        <v>25925088.736248016</v>
      </c>
      <c r="L43" s="172">
        <f t="shared" si="52"/>
        <v>91691203.105164081</v>
      </c>
      <c r="M43" s="167">
        <f t="shared" si="53"/>
        <v>0.71725653216139429</v>
      </c>
      <c r="N43" s="173">
        <f>+'2017 RAW DATA'!K12</f>
        <v>68077189</v>
      </c>
      <c r="O43" s="293">
        <f>+'2017 RAW DATA'!J12</f>
        <v>19821190</v>
      </c>
      <c r="P43" s="172">
        <f t="shared" si="90"/>
        <v>87898379</v>
      </c>
      <c r="Q43" s="167">
        <f t="shared" si="89"/>
        <v>0.77449879934645893</v>
      </c>
      <c r="R43" s="165">
        <f>'2017 NEW RAW DATA '!K12</f>
        <v>70146771</v>
      </c>
      <c r="S43" s="165">
        <f>'2017 NEW RAW DATA '!J12</f>
        <v>18237418</v>
      </c>
      <c r="T43" s="165">
        <f t="shared" si="54"/>
        <v>88384189</v>
      </c>
      <c r="U43" s="167">
        <f t="shared" si="55"/>
        <v>0.79365746061210107</v>
      </c>
      <c r="V43" s="165">
        <f>'2018 RAW DATA'!K12</f>
        <v>78601657</v>
      </c>
      <c r="W43" s="165">
        <f>'2018 RAW DATA'!J12</f>
        <v>20564957</v>
      </c>
      <c r="X43" s="165">
        <f t="shared" si="56"/>
        <v>99166614</v>
      </c>
      <c r="Y43" s="167">
        <f t="shared" si="57"/>
        <v>0.79262217221614528</v>
      </c>
      <c r="Z43" s="306">
        <f>'2019 RAW DATA'!K12</f>
        <v>72393564</v>
      </c>
      <c r="AA43" s="165">
        <f>'2019 RAW DATA'!J12</f>
        <v>18444476</v>
      </c>
      <c r="AB43" s="165">
        <f t="shared" si="92"/>
        <v>90838040</v>
      </c>
      <c r="AC43" s="239">
        <f t="shared" si="93"/>
        <v>0.79695206985971956</v>
      </c>
      <c r="AD43" s="239"/>
      <c r="AE43" s="239"/>
      <c r="AF43" s="167"/>
      <c r="AG43" s="116">
        <v>6130437</v>
      </c>
      <c r="AH43" s="298">
        <v>0.03</v>
      </c>
      <c r="AI43" s="260">
        <f t="shared" si="94"/>
        <v>74565370.920000002</v>
      </c>
      <c r="AJ43" s="256">
        <f t="shared" si="58"/>
        <v>6314350.1100000003</v>
      </c>
      <c r="AK43" s="257">
        <f t="shared" si="59"/>
        <v>68251020.810000002</v>
      </c>
      <c r="AL43" s="257">
        <f t="shared" si="60"/>
        <v>25312160.390000001</v>
      </c>
      <c r="AM43" s="257">
        <f t="shared" si="61"/>
        <v>93563181.200000003</v>
      </c>
      <c r="AN43" s="261">
        <f t="shared" si="62"/>
        <v>0.72946451728813166</v>
      </c>
      <c r="AO43" s="173">
        <f>'2020 RAW DATA'!K12</f>
        <v>105576588</v>
      </c>
      <c r="AP43" s="172">
        <f>'2020 RAW DATA'!J12</f>
        <v>18577297</v>
      </c>
      <c r="AQ43" s="165">
        <f t="shared" si="87"/>
        <v>124153885</v>
      </c>
      <c r="AR43" s="311">
        <f t="shared" si="48"/>
        <v>0.85036878225759915</v>
      </c>
      <c r="AS43" s="260">
        <f t="shared" si="95"/>
        <v>70298551.434300005</v>
      </c>
      <c r="AT43" s="256">
        <f t="shared" si="96"/>
        <v>6503780.6132999994</v>
      </c>
      <c r="AU43" s="257">
        <f t="shared" si="97"/>
        <v>69918869.028449997</v>
      </c>
      <c r="AV43" s="257">
        <f t="shared" si="98"/>
        <v>26451207.607549999</v>
      </c>
      <c r="AW43" s="257">
        <f t="shared" si="99"/>
        <v>96370076.635999992</v>
      </c>
      <c r="AX43" s="261">
        <f t="shared" si="63"/>
        <v>0.72552468016125993</v>
      </c>
      <c r="AY43" s="173">
        <f>'2021 RAW Data'!K12</f>
        <v>108606375</v>
      </c>
      <c r="AZ43" s="172">
        <f>'2021 RAW Data'!J12</f>
        <v>24608990</v>
      </c>
      <c r="BA43" s="165">
        <f t="shared" si="64"/>
        <v>133215365</v>
      </c>
      <c r="BB43" s="311">
        <f t="shared" si="49"/>
        <v>0.81526913205545026</v>
      </c>
      <c r="BC43" s="260">
        <f t="shared" si="100"/>
        <v>72016435.099303499</v>
      </c>
      <c r="BD43" s="256">
        <f t="shared" si="101"/>
        <v>6698894.0316989999</v>
      </c>
      <c r="BE43" s="257">
        <f t="shared" si="102"/>
        <v>71619666.985190257</v>
      </c>
      <c r="BF43" s="257">
        <f t="shared" si="103"/>
        <v>27641511.949889746</v>
      </c>
      <c r="BG43" s="257">
        <f t="shared" si="104"/>
        <v>99261178.935080007</v>
      </c>
      <c r="BH43" s="261">
        <f t="shared" si="65"/>
        <v>0.72152746676555002</v>
      </c>
      <c r="BI43" s="260">
        <f t="shared" si="66"/>
        <v>73768256.99474597</v>
      </c>
      <c r="BJ43" s="256">
        <f t="shared" si="67"/>
        <v>6899860.852649969</v>
      </c>
      <c r="BK43" s="257">
        <f t="shared" si="105"/>
        <v>73353634.315497607</v>
      </c>
      <c r="BL43" s="257">
        <f t="shared" si="68"/>
        <v>28885379.987634782</v>
      </c>
      <c r="BM43" s="257">
        <f t="shared" si="88"/>
        <v>102239014.30313239</v>
      </c>
      <c r="BN43" s="261">
        <f t="shared" si="69"/>
        <v>0.71747204152427169</v>
      </c>
      <c r="BO43" s="260">
        <f t="shared" si="70"/>
        <v>75554243.344962537</v>
      </c>
      <c r="BP43" s="256">
        <f t="shared" si="71"/>
        <v>7106856.6782294679</v>
      </c>
      <c r="BQ43" s="257">
        <f t="shared" si="106"/>
        <v>75120962.645148009</v>
      </c>
      <c r="BR43" s="257">
        <f t="shared" si="72"/>
        <v>30185222.087078344</v>
      </c>
      <c r="BS43" s="257">
        <f t="shared" si="73"/>
        <v>105306184.73222636</v>
      </c>
      <c r="BT43" s="261">
        <f t="shared" si="74"/>
        <v>0.71335755669210088</v>
      </c>
      <c r="BU43" s="260">
        <f t="shared" si="75"/>
        <v>77374591.524502456</v>
      </c>
      <c r="BV43" s="256">
        <f t="shared" si="76"/>
        <v>7320062.3785763523</v>
      </c>
      <c r="BW43" s="257">
        <f t="shared" si="77"/>
        <v>76921813.193196282</v>
      </c>
      <c r="BX43" s="257">
        <f t="shared" si="78"/>
        <v>31543557.080996867</v>
      </c>
      <c r="BY43" s="257">
        <f t="shared" si="79"/>
        <v>108465370.27419315</v>
      </c>
      <c r="BZ43" s="261">
        <f t="shared" si="80"/>
        <v>0.70918315217790817</v>
      </c>
      <c r="CA43" s="260">
        <f t="shared" si="81"/>
        <v>79229467.588992178</v>
      </c>
      <c r="CB43" s="256">
        <f t="shared" si="82"/>
        <v>7539664.2499336433</v>
      </c>
      <c r="CC43" s="257">
        <f t="shared" si="83"/>
        <v>78756314.232777238</v>
      </c>
      <c r="CD43" s="257">
        <f t="shared" si="84"/>
        <v>32963017.149641722</v>
      </c>
      <c r="CE43" s="257">
        <f t="shared" si="85"/>
        <v>111719331.38241896</v>
      </c>
      <c r="CF43" s="261">
        <f t="shared" si="86"/>
        <v>0.70494795536496524</v>
      </c>
    </row>
    <row r="44" spans="1:84" x14ac:dyDescent="0.35">
      <c r="A44" s="56" t="s">
        <v>79</v>
      </c>
      <c r="B44" s="290">
        <f>'2014 RAW DATA'!K13</f>
        <v>6097074.7928459989</v>
      </c>
      <c r="C44" s="291">
        <f>'2014 RAW DATA'!J13</f>
        <v>1078542.8821139999</v>
      </c>
      <c r="D44" s="292">
        <f t="shared" si="50"/>
        <v>7175617.6749599986</v>
      </c>
      <c r="E44" s="167">
        <f t="shared" si="91"/>
        <v>0.84969337401048028</v>
      </c>
      <c r="F44" s="173">
        <f>'2015 RAW DATA'!K13</f>
        <v>6200278.3528380012</v>
      </c>
      <c r="G44" s="293">
        <f>'2015 RAW DATA'!J13</f>
        <v>1445564.0164499998</v>
      </c>
      <c r="H44" s="172">
        <f t="shared" si="51"/>
        <v>7645842.3692880012</v>
      </c>
      <c r="I44" s="167">
        <f>F44/H44</f>
        <v>0.81093463000799293</v>
      </c>
      <c r="J44" s="173">
        <f>'2016 RAW DATA'!K13</f>
        <v>6916923.1909680013</v>
      </c>
      <c r="K44" s="293">
        <f>'2016 RAW DATA'!J13</f>
        <v>1011785.9493719999</v>
      </c>
      <c r="L44" s="172">
        <f t="shared" si="52"/>
        <v>7928709.1403400013</v>
      </c>
      <c r="M44" s="167">
        <f t="shared" si="53"/>
        <v>0.87238957420897234</v>
      </c>
      <c r="N44" s="173">
        <f>+'2017 RAW DATA'!K13</f>
        <v>6818814</v>
      </c>
      <c r="O44" s="293">
        <f>+'2017 RAW DATA'!J13</f>
        <v>898363</v>
      </c>
      <c r="P44" s="172">
        <f t="shared" si="90"/>
        <v>7717177</v>
      </c>
      <c r="Q44" s="167">
        <f t="shared" si="89"/>
        <v>0.8835891673859495</v>
      </c>
      <c r="R44" s="165">
        <f>'2017 NEW RAW DATA '!K13</f>
        <v>7231137</v>
      </c>
      <c r="S44" s="165">
        <f>'2017 NEW RAW DATA '!J13</f>
        <v>873472</v>
      </c>
      <c r="T44" s="165">
        <f t="shared" si="54"/>
        <v>8104609</v>
      </c>
      <c r="U44" s="167">
        <f t="shared" si="55"/>
        <v>0.89222527576592525</v>
      </c>
      <c r="V44" s="165">
        <f>'2018 RAW DATA'!K13</f>
        <v>7334058</v>
      </c>
      <c r="W44" s="165">
        <f>'2018 RAW DATA'!J13</f>
        <v>904222</v>
      </c>
      <c r="X44" s="165">
        <f t="shared" si="56"/>
        <v>8238280</v>
      </c>
      <c r="Y44" s="167">
        <f t="shared" si="57"/>
        <v>0.89024140961462828</v>
      </c>
      <c r="Z44" s="306">
        <f>'2019 RAW DATA'!K13</f>
        <v>6734882</v>
      </c>
      <c r="AA44" s="165">
        <f>'2019 RAW DATA'!J13</f>
        <v>538399</v>
      </c>
      <c r="AB44" s="165">
        <f t="shared" si="92"/>
        <v>7273281</v>
      </c>
      <c r="AC44" s="239">
        <f t="shared" si="93"/>
        <v>0.92597577351954363</v>
      </c>
      <c r="AD44" s="239"/>
      <c r="AE44" s="239"/>
      <c r="AF44" s="167"/>
      <c r="AG44" s="116">
        <v>396554</v>
      </c>
      <c r="AH44" s="298">
        <v>0.02</v>
      </c>
      <c r="AI44" s="260">
        <f t="shared" si="94"/>
        <v>6869579.6399999997</v>
      </c>
      <c r="AJ44" s="256">
        <f t="shared" si="58"/>
        <v>404485.08</v>
      </c>
      <c r="AK44" s="257">
        <f t="shared" si="59"/>
        <v>6465094.5599999996</v>
      </c>
      <c r="AL44" s="257">
        <f t="shared" si="60"/>
        <v>953652.06000000052</v>
      </c>
      <c r="AM44" s="257">
        <f t="shared" si="61"/>
        <v>7418746.6200000001</v>
      </c>
      <c r="AN44" s="261">
        <f t="shared" si="62"/>
        <v>0.8714537496901329</v>
      </c>
      <c r="AO44" s="173">
        <f>'2020 RAW DATA'!K13</f>
        <v>11632361</v>
      </c>
      <c r="AP44" s="172">
        <f>'2020 RAW DATA'!J13</f>
        <v>182037</v>
      </c>
      <c r="AQ44" s="165">
        <f t="shared" si="87"/>
        <v>11814398</v>
      </c>
      <c r="AR44" s="311">
        <f t="shared" si="48"/>
        <v>0.98459193604278439</v>
      </c>
      <c r="AS44" s="260">
        <f t="shared" si="95"/>
        <v>6594396.4512</v>
      </c>
      <c r="AT44" s="256">
        <f t="shared" si="96"/>
        <v>412574.78159999999</v>
      </c>
      <c r="AU44" s="257">
        <f t="shared" si="97"/>
        <v>6584859.9305999996</v>
      </c>
      <c r="AV44" s="257">
        <f t="shared" si="98"/>
        <v>982261.62180000055</v>
      </c>
      <c r="AW44" s="257">
        <f t="shared" si="99"/>
        <v>7567121.5524000004</v>
      </c>
      <c r="AX44" s="261">
        <f t="shared" si="63"/>
        <v>0.87019349233415377</v>
      </c>
      <c r="AY44" s="173">
        <f>'2021 RAW Data'!K13</f>
        <v>10971651</v>
      </c>
      <c r="AZ44" s="172">
        <f>'2021 RAW Data'!J13</f>
        <v>902442</v>
      </c>
      <c r="BA44" s="165">
        <f t="shared" si="64"/>
        <v>11874093</v>
      </c>
      <c r="BB44" s="311">
        <f t="shared" si="49"/>
        <v>0.92399907934020731</v>
      </c>
      <c r="BC44" s="260">
        <f t="shared" si="100"/>
        <v>6716557.1292119995</v>
      </c>
      <c r="BD44" s="256">
        <f t="shared" si="101"/>
        <v>420826.27723199996</v>
      </c>
      <c r="BE44" s="257">
        <f t="shared" si="102"/>
        <v>6706734.5129939988</v>
      </c>
      <c r="BF44" s="257">
        <f t="shared" si="103"/>
        <v>1011729.4704540006</v>
      </c>
      <c r="BG44" s="257">
        <f t="shared" si="104"/>
        <v>7718463.9834479997</v>
      </c>
      <c r="BH44" s="261">
        <f t="shared" si="65"/>
        <v>0.8689208795139004</v>
      </c>
      <c r="BI44" s="260">
        <f t="shared" si="66"/>
        <v>6840869.2032538792</v>
      </c>
      <c r="BJ44" s="256">
        <f t="shared" si="67"/>
        <v>429242.80277663999</v>
      </c>
      <c r="BK44" s="257">
        <f t="shared" si="105"/>
        <v>6830751.9085493386</v>
      </c>
      <c r="BL44" s="257">
        <f t="shared" si="68"/>
        <v>1042081.3545676207</v>
      </c>
      <c r="BM44" s="257">
        <f t="shared" si="88"/>
        <v>7872833.2631169595</v>
      </c>
      <c r="BN44" s="261">
        <f t="shared" si="69"/>
        <v>0.86763579009737002</v>
      </c>
      <c r="BO44" s="260">
        <f t="shared" si="70"/>
        <v>6967366.9467203254</v>
      </c>
      <c r="BP44" s="256">
        <f t="shared" si="71"/>
        <v>437827.6588321728</v>
      </c>
      <c r="BQ44" s="257">
        <f t="shared" si="106"/>
        <v>6956946.1331746504</v>
      </c>
      <c r="BR44" s="257">
        <f t="shared" si="72"/>
        <v>1073343.7952046492</v>
      </c>
      <c r="BS44" s="257">
        <f t="shared" si="73"/>
        <v>8030289.9283792991</v>
      </c>
      <c r="BT44" s="261">
        <f t="shared" si="74"/>
        <v>0.86633810176499138</v>
      </c>
      <c r="BU44" s="260">
        <f t="shared" si="75"/>
        <v>7096085.0558381435</v>
      </c>
      <c r="BV44" s="256">
        <f t="shared" si="76"/>
        <v>446584.21200881631</v>
      </c>
      <c r="BW44" s="257">
        <f t="shared" si="77"/>
        <v>7085351.6178860972</v>
      </c>
      <c r="BX44" s="257">
        <f t="shared" si="78"/>
        <v>1105544.1090607888</v>
      </c>
      <c r="BY44" s="257">
        <f t="shared" si="79"/>
        <v>8190895.7269468857</v>
      </c>
      <c r="BZ44" s="261">
        <f t="shared" si="80"/>
        <v>0.86502769099798149</v>
      </c>
      <c r="CA44" s="260">
        <f t="shared" si="81"/>
        <v>7227058.6502438197</v>
      </c>
      <c r="CB44" s="256">
        <f t="shared" si="82"/>
        <v>455515.89624899253</v>
      </c>
      <c r="CC44" s="257">
        <f t="shared" si="83"/>
        <v>7216003.2091532089</v>
      </c>
      <c r="CD44" s="257">
        <f t="shared" si="84"/>
        <v>1138710.4323326123</v>
      </c>
      <c r="CE44" s="257">
        <f t="shared" si="85"/>
        <v>8354713.6414858215</v>
      </c>
      <c r="CF44" s="261">
        <f t="shared" si="86"/>
        <v>0.86370443306658906</v>
      </c>
    </row>
    <row r="45" spans="1:84" x14ac:dyDescent="0.35">
      <c r="A45" s="56" t="s">
        <v>80</v>
      </c>
      <c r="B45" s="290"/>
      <c r="C45" s="291"/>
      <c r="D45" s="292"/>
      <c r="E45" s="167"/>
      <c r="F45" s="173"/>
      <c r="G45" s="293"/>
      <c r="H45" s="172"/>
      <c r="I45" s="167"/>
      <c r="J45" s="173"/>
      <c r="K45" s="293"/>
      <c r="L45" s="172"/>
      <c r="M45" s="167"/>
      <c r="N45" s="173">
        <f>+'2017 RAW DATA'!K14</f>
        <v>2538436</v>
      </c>
      <c r="O45" s="293">
        <f>+'2017 RAW DATA'!J14</f>
        <v>2637</v>
      </c>
      <c r="P45" s="172">
        <f t="shared" si="90"/>
        <v>2541073</v>
      </c>
      <c r="Q45" s="167">
        <f t="shared" si="89"/>
        <v>0.99896224941196099</v>
      </c>
      <c r="R45" s="165">
        <f>'2017 NEW RAW DATA '!K14</f>
        <v>2426715</v>
      </c>
      <c r="S45" s="165">
        <f>'2017 NEW RAW DATA '!J14</f>
        <v>1299</v>
      </c>
      <c r="T45" s="165">
        <f t="shared" si="54"/>
        <v>2428014</v>
      </c>
      <c r="U45" s="167">
        <f t="shared" si="55"/>
        <v>0.99946499484764095</v>
      </c>
      <c r="V45" s="165">
        <f>'2018 RAW DATA'!K14</f>
        <v>2628920</v>
      </c>
      <c r="W45" s="165">
        <f>'2018 RAW DATA'!J14</f>
        <v>0</v>
      </c>
      <c r="X45" s="165">
        <f t="shared" si="56"/>
        <v>2628920</v>
      </c>
      <c r="Y45" s="167">
        <f t="shared" si="57"/>
        <v>1</v>
      </c>
      <c r="Z45" s="306">
        <f>'2019 RAW DATA'!K14</f>
        <v>2257411</v>
      </c>
      <c r="AA45" s="165">
        <f>'2019 RAW DATA'!J14</f>
        <v>0</v>
      </c>
      <c r="AB45" s="165">
        <f t="shared" si="92"/>
        <v>2257411</v>
      </c>
      <c r="AC45" s="239">
        <f t="shared" si="93"/>
        <v>1</v>
      </c>
      <c r="AD45" s="239"/>
      <c r="AE45" s="239"/>
      <c r="AF45" s="167"/>
      <c r="AG45" s="116">
        <v>0</v>
      </c>
      <c r="AH45" s="298">
        <v>0.02</v>
      </c>
      <c r="AI45" s="260">
        <f t="shared" si="94"/>
        <v>2302559.2200000002</v>
      </c>
      <c r="AJ45" s="256">
        <f t="shared" si="58"/>
        <v>0</v>
      </c>
      <c r="AK45" s="257">
        <f t="shared" si="59"/>
        <v>2302559.2200000002</v>
      </c>
      <c r="AL45" s="257">
        <f t="shared" si="60"/>
        <v>0</v>
      </c>
      <c r="AM45" s="257">
        <f t="shared" si="61"/>
        <v>2302559.2200000002</v>
      </c>
      <c r="AN45" s="261">
        <f t="shared" si="62"/>
        <v>1</v>
      </c>
      <c r="AO45" s="173">
        <f>'2020 RAW DATA'!K14</f>
        <v>7397028</v>
      </c>
      <c r="AP45" s="172">
        <f>'2020 RAW DATA'!J14</f>
        <v>0</v>
      </c>
      <c r="AQ45" s="165">
        <f t="shared" si="87"/>
        <v>7397028</v>
      </c>
      <c r="AR45" s="311">
        <f t="shared" si="48"/>
        <v>1</v>
      </c>
      <c r="AS45" s="260">
        <f t="shared" si="95"/>
        <v>2348610.4044000003</v>
      </c>
      <c r="AT45" s="256">
        <f t="shared" si="96"/>
        <v>0</v>
      </c>
      <c r="AU45" s="257">
        <f t="shared" si="97"/>
        <v>2348610.4043999999</v>
      </c>
      <c r="AV45" s="257">
        <f t="shared" si="98"/>
        <v>0</v>
      </c>
      <c r="AW45" s="257">
        <f t="shared" si="99"/>
        <v>2348610.4043999999</v>
      </c>
      <c r="AX45" s="261">
        <f t="shared" si="63"/>
        <v>1</v>
      </c>
      <c r="AY45" s="173">
        <f>'2021 RAW Data'!K14</f>
        <v>3893829</v>
      </c>
      <c r="AZ45" s="172">
        <f>'2021 RAW Data'!J14</f>
        <v>0</v>
      </c>
      <c r="BA45" s="165">
        <f t="shared" si="64"/>
        <v>3893829</v>
      </c>
      <c r="BB45" s="311">
        <f t="shared" si="49"/>
        <v>1</v>
      </c>
      <c r="BC45" s="260">
        <f t="shared" si="100"/>
        <v>2395582.6124879997</v>
      </c>
      <c r="BD45" s="256">
        <f t="shared" si="101"/>
        <v>0</v>
      </c>
      <c r="BE45" s="257">
        <f t="shared" si="102"/>
        <v>2395582.6124879997</v>
      </c>
      <c r="BF45" s="257">
        <f t="shared" si="103"/>
        <v>0</v>
      </c>
      <c r="BG45" s="257">
        <f t="shared" si="104"/>
        <v>2395582.6124879997</v>
      </c>
      <c r="BH45" s="261">
        <f t="shared" si="65"/>
        <v>1</v>
      </c>
      <c r="BI45" s="260">
        <f t="shared" si="66"/>
        <v>2443494.2647377597</v>
      </c>
      <c r="BJ45" s="256">
        <f t="shared" si="67"/>
        <v>0</v>
      </c>
      <c r="BK45" s="257">
        <f t="shared" si="105"/>
        <v>2443494.2647377597</v>
      </c>
      <c r="BL45" s="257">
        <f t="shared" si="68"/>
        <v>0</v>
      </c>
      <c r="BM45" s="257">
        <f t="shared" si="88"/>
        <v>2443494.2647377597</v>
      </c>
      <c r="BN45" s="261">
        <f t="shared" si="69"/>
        <v>1</v>
      </c>
      <c r="BO45" s="260">
        <f t="shared" si="70"/>
        <v>2492364.1500325152</v>
      </c>
      <c r="BP45" s="256">
        <f t="shared" si="71"/>
        <v>0</v>
      </c>
      <c r="BQ45" s="257">
        <f t="shared" si="106"/>
        <v>2492364.1500325152</v>
      </c>
      <c r="BR45" s="257">
        <f t="shared" si="72"/>
        <v>0</v>
      </c>
      <c r="BS45" s="257">
        <f t="shared" si="73"/>
        <v>2492364.1500325152</v>
      </c>
      <c r="BT45" s="261">
        <f t="shared" si="74"/>
        <v>1</v>
      </c>
      <c r="BU45" s="260">
        <f t="shared" si="75"/>
        <v>2542211.4330331655</v>
      </c>
      <c r="BV45" s="256">
        <f t="shared" si="76"/>
        <v>0</v>
      </c>
      <c r="BW45" s="257">
        <f t="shared" si="77"/>
        <v>2542211.4330331655</v>
      </c>
      <c r="BX45" s="257">
        <f t="shared" si="78"/>
        <v>0</v>
      </c>
      <c r="BY45" s="257">
        <f t="shared" si="79"/>
        <v>2542211.4330331655</v>
      </c>
      <c r="BZ45" s="261">
        <f t="shared" si="80"/>
        <v>1</v>
      </c>
      <c r="CA45" s="260">
        <f t="shared" si="81"/>
        <v>2593055.6616938286</v>
      </c>
      <c r="CB45" s="256">
        <f t="shared" si="82"/>
        <v>0</v>
      </c>
      <c r="CC45" s="257">
        <f t="shared" si="83"/>
        <v>2593055.6616938282</v>
      </c>
      <c r="CD45" s="257">
        <f t="shared" si="84"/>
        <v>0</v>
      </c>
      <c r="CE45" s="257">
        <f t="shared" si="85"/>
        <v>2593055.6616938282</v>
      </c>
      <c r="CF45" s="261">
        <f t="shared" si="86"/>
        <v>1</v>
      </c>
    </row>
    <row r="46" spans="1:84" x14ac:dyDescent="0.35">
      <c r="A46" s="56" t="s">
        <v>81</v>
      </c>
      <c r="B46" s="290"/>
      <c r="C46" s="291"/>
      <c r="D46" s="292"/>
      <c r="E46" s="167"/>
      <c r="F46" s="173"/>
      <c r="G46" s="293"/>
      <c r="H46" s="172"/>
      <c r="I46" s="167"/>
      <c r="J46" s="173"/>
      <c r="K46" s="293"/>
      <c r="L46" s="172"/>
      <c r="M46" s="167"/>
      <c r="N46" s="173">
        <f>+'2017 RAW DATA'!K15</f>
        <v>4797485</v>
      </c>
      <c r="O46" s="293">
        <f>+'2017 RAW DATA'!J15</f>
        <v>696226</v>
      </c>
      <c r="P46" s="172">
        <f t="shared" si="90"/>
        <v>5493711</v>
      </c>
      <c r="Q46" s="167">
        <f t="shared" si="89"/>
        <v>0.87326854288476408</v>
      </c>
      <c r="R46" s="165">
        <f>'2017 NEW RAW DATA '!K15</f>
        <v>4956404</v>
      </c>
      <c r="S46" s="165">
        <f>'2017 NEW RAW DATA '!J15</f>
        <v>578998</v>
      </c>
      <c r="T46" s="165">
        <f t="shared" si="54"/>
        <v>5535402</v>
      </c>
      <c r="U46" s="167">
        <f t="shared" si="55"/>
        <v>0.89540091216500628</v>
      </c>
      <c r="V46" s="165">
        <f>'2018 RAW DATA'!K15</f>
        <v>5518870</v>
      </c>
      <c r="W46" s="165">
        <f>'2018 RAW DATA'!J15</f>
        <v>483434</v>
      </c>
      <c r="X46" s="165">
        <f t="shared" si="56"/>
        <v>6002304</v>
      </c>
      <c r="Y46" s="167">
        <f t="shared" si="57"/>
        <v>0.91945859456635315</v>
      </c>
      <c r="Z46" s="306">
        <f>'2019 RAW DATA'!K15</f>
        <v>4857286</v>
      </c>
      <c r="AA46" s="165">
        <f>'2019 RAW DATA'!J15</f>
        <v>544757</v>
      </c>
      <c r="AB46" s="165">
        <f t="shared" si="92"/>
        <v>5402043</v>
      </c>
      <c r="AC46" s="239">
        <f t="shared" si="93"/>
        <v>0.89915722625680694</v>
      </c>
      <c r="AD46" s="239"/>
      <c r="AE46" s="239"/>
      <c r="AF46" s="167"/>
      <c r="AG46" s="116">
        <v>14500</v>
      </c>
      <c r="AH46" s="298">
        <v>0.02</v>
      </c>
      <c r="AI46" s="260">
        <f t="shared" si="94"/>
        <v>4954431.72</v>
      </c>
      <c r="AJ46" s="256">
        <f t="shared" si="58"/>
        <v>14790</v>
      </c>
      <c r="AK46" s="257">
        <f t="shared" si="59"/>
        <v>4939641.72</v>
      </c>
      <c r="AL46" s="257">
        <f t="shared" si="60"/>
        <v>570442.1400000006</v>
      </c>
      <c r="AM46" s="257">
        <f t="shared" si="61"/>
        <v>5510083.8600000003</v>
      </c>
      <c r="AN46" s="261">
        <f t="shared" si="62"/>
        <v>0.89647305658248178</v>
      </c>
      <c r="AO46" s="173">
        <f>'2020 RAW DATA'!K15</f>
        <v>15772024</v>
      </c>
      <c r="AP46" s="172">
        <f>'2020 RAW DATA'!J15</f>
        <v>789666</v>
      </c>
      <c r="AQ46" s="165">
        <f t="shared" si="87"/>
        <v>16561690</v>
      </c>
      <c r="AR46" s="311">
        <f t="shared" si="48"/>
        <v>0.95231972099465689</v>
      </c>
      <c r="AS46" s="260">
        <f t="shared" si="95"/>
        <v>5038434.5543999998</v>
      </c>
      <c r="AT46" s="256">
        <f t="shared" si="96"/>
        <v>15085.8</v>
      </c>
      <c r="AU46" s="257">
        <f t="shared" si="97"/>
        <v>5032730.1329999994</v>
      </c>
      <c r="AV46" s="257">
        <f t="shared" si="98"/>
        <v>587555.40420000057</v>
      </c>
      <c r="AW46" s="257">
        <f t="shared" si="99"/>
        <v>5620285.5372000001</v>
      </c>
      <c r="AX46" s="261">
        <f t="shared" si="63"/>
        <v>0.89545808654897663</v>
      </c>
      <c r="AY46" s="173">
        <f>'2021 RAW Data'!K15</f>
        <v>7204928</v>
      </c>
      <c r="AZ46" s="172">
        <f>'2021 RAW Data'!J15</f>
        <v>997360</v>
      </c>
      <c r="BA46" s="165">
        <f t="shared" si="64"/>
        <v>8202288</v>
      </c>
      <c r="BB46" s="311">
        <f t="shared" si="49"/>
        <v>0.87840465977298043</v>
      </c>
      <c r="BC46" s="260">
        <f t="shared" si="100"/>
        <v>5133384.7356599998</v>
      </c>
      <c r="BD46" s="256">
        <f t="shared" si="101"/>
        <v>15387.516</v>
      </c>
      <c r="BE46" s="257">
        <f t="shared" si="102"/>
        <v>5127509.1816179985</v>
      </c>
      <c r="BF46" s="257">
        <f t="shared" si="103"/>
        <v>605182.06632600061</v>
      </c>
      <c r="BG46" s="257">
        <f t="shared" si="104"/>
        <v>5732691.2479439992</v>
      </c>
      <c r="BH46" s="261">
        <f t="shared" si="65"/>
        <v>0.89443316582886856</v>
      </c>
      <c r="BI46" s="260">
        <f t="shared" si="66"/>
        <v>5230059.3652503584</v>
      </c>
      <c r="BJ46" s="256">
        <f t="shared" si="67"/>
        <v>15695.266319999999</v>
      </c>
      <c r="BK46" s="257">
        <f t="shared" si="105"/>
        <v>5224007.544587099</v>
      </c>
      <c r="BL46" s="257">
        <f t="shared" si="68"/>
        <v>623337.52831578068</v>
      </c>
      <c r="BM46" s="257">
        <f t="shared" si="88"/>
        <v>5847345.0729028797</v>
      </c>
      <c r="BN46" s="261">
        <f t="shared" si="69"/>
        <v>0.89339819686640654</v>
      </c>
      <c r="BO46" s="260">
        <f t="shared" si="70"/>
        <v>5328487.6954788407</v>
      </c>
      <c r="BP46" s="256">
        <f t="shared" si="71"/>
        <v>16009.1716464</v>
      </c>
      <c r="BQ46" s="257">
        <f t="shared" si="106"/>
        <v>5322254.3201956833</v>
      </c>
      <c r="BR46" s="257">
        <f t="shared" si="72"/>
        <v>642037.65416525409</v>
      </c>
      <c r="BS46" s="257">
        <f t="shared" si="73"/>
        <v>5964291.9743609373</v>
      </c>
      <c r="BT46" s="261">
        <f t="shared" si="74"/>
        <v>0.89235308114941048</v>
      </c>
      <c r="BU46" s="260">
        <f t="shared" si="75"/>
        <v>5428699.4065995971</v>
      </c>
      <c r="BV46" s="256">
        <f t="shared" si="76"/>
        <v>16329.355079328001</v>
      </c>
      <c r="BW46" s="257">
        <f t="shared" si="77"/>
        <v>5422279.0300579444</v>
      </c>
      <c r="BX46" s="257">
        <f t="shared" si="78"/>
        <v>661298.78379021178</v>
      </c>
      <c r="BY46" s="257">
        <f t="shared" si="79"/>
        <v>6083577.8138481565</v>
      </c>
      <c r="BZ46" s="261">
        <f t="shared" si="80"/>
        <v>0.89129771919989487</v>
      </c>
      <c r="CA46" s="260">
        <f t="shared" si="81"/>
        <v>5530724.6106591029</v>
      </c>
      <c r="CB46" s="256">
        <f t="shared" si="82"/>
        <v>16655.942180914557</v>
      </c>
      <c r="CC46" s="257">
        <f t="shared" si="83"/>
        <v>5524111.6228212006</v>
      </c>
      <c r="CD46" s="257">
        <f t="shared" si="84"/>
        <v>681137.74730391812</v>
      </c>
      <c r="CE46" s="257">
        <f t="shared" si="85"/>
        <v>6205249.3701251186</v>
      </c>
      <c r="CF46" s="261">
        <f t="shared" si="86"/>
        <v>0.89023201056459977</v>
      </c>
    </row>
    <row r="47" spans="1:84" x14ac:dyDescent="0.35">
      <c r="A47" s="56" t="s">
        <v>82</v>
      </c>
      <c r="B47" s="290">
        <f>'2014 RAW DATA'!K16</f>
        <v>30039706.261217985</v>
      </c>
      <c r="C47" s="291">
        <f>'2014 RAW DATA'!J16</f>
        <v>21890522.052870002</v>
      </c>
      <c r="D47" s="292">
        <f t="shared" si="50"/>
        <v>51930228.314087987</v>
      </c>
      <c r="E47" s="167">
        <f t="shared" si="91"/>
        <v>0.57846281898723351</v>
      </c>
      <c r="F47" s="173">
        <f>'2015 RAW DATA'!K16</f>
        <v>30455239.883328002</v>
      </c>
      <c r="G47" s="293">
        <f>'2015 RAW DATA'!J16</f>
        <v>24893336.153766014</v>
      </c>
      <c r="H47" s="172">
        <f t="shared" si="51"/>
        <v>55348576.037094012</v>
      </c>
      <c r="I47" s="167">
        <f t="shared" ref="I47:I52" si="107">F47/H47</f>
        <v>0.55024432539903523</v>
      </c>
      <c r="J47" s="173">
        <f>'2016 RAW DATA'!K16</f>
        <v>34959379.837049991</v>
      </c>
      <c r="K47" s="293">
        <f>'2016 RAW DATA'!J16</f>
        <v>22439646.263154007</v>
      </c>
      <c r="L47" s="172">
        <f t="shared" si="52"/>
        <v>57399026.100203998</v>
      </c>
      <c r="M47" s="167">
        <f t="shared" si="53"/>
        <v>0.60905876305322437</v>
      </c>
      <c r="N47" s="173">
        <f>+'2017 RAW DATA'!K16</f>
        <v>63310996</v>
      </c>
      <c r="O47" s="293">
        <f>+'2017 RAW DATA'!J16</f>
        <v>37956067</v>
      </c>
      <c r="P47" s="172">
        <f t="shared" si="90"/>
        <v>101267063</v>
      </c>
      <c r="Q47" s="167">
        <f t="shared" si="89"/>
        <v>0.62518842873916469</v>
      </c>
      <c r="R47" s="165">
        <f>'2017 NEW RAW DATA '!K16</f>
        <v>64717777</v>
      </c>
      <c r="S47" s="165">
        <f>'2017 NEW RAW DATA '!J16</f>
        <v>34812765</v>
      </c>
      <c r="T47" s="165">
        <f t="shared" si="54"/>
        <v>99530542</v>
      </c>
      <c r="U47" s="167">
        <f t="shared" si="55"/>
        <v>0.65023032829460525</v>
      </c>
      <c r="V47" s="165">
        <f>'2018 RAW DATA'!K16</f>
        <v>78140087</v>
      </c>
      <c r="W47" s="165">
        <f>'2018 RAW DATA'!J16</f>
        <v>39131539</v>
      </c>
      <c r="X47" s="165">
        <f t="shared" si="56"/>
        <v>117271626</v>
      </c>
      <c r="Y47" s="167">
        <f t="shared" si="57"/>
        <v>0.66631707656206629</v>
      </c>
      <c r="Z47" s="306">
        <f>'2019 RAW DATA'!K16</f>
        <v>68826148</v>
      </c>
      <c r="AA47" s="165">
        <f>'2019 RAW DATA'!J16</f>
        <v>27568675</v>
      </c>
      <c r="AB47" s="165">
        <f t="shared" si="92"/>
        <v>96394823</v>
      </c>
      <c r="AC47" s="239">
        <f t="shared" si="93"/>
        <v>0.71400253517764123</v>
      </c>
      <c r="AD47" s="239"/>
      <c r="AE47" s="239"/>
      <c r="AF47" s="167"/>
      <c r="AG47" s="116">
        <v>4583343</v>
      </c>
      <c r="AH47" s="298">
        <v>0.03</v>
      </c>
      <c r="AI47" s="260">
        <f t="shared" si="94"/>
        <v>70890932.439999998</v>
      </c>
      <c r="AJ47" s="256">
        <f t="shared" si="58"/>
        <v>4720843.29</v>
      </c>
      <c r="AK47" s="257">
        <f t="shared" si="59"/>
        <v>66170089.149999999</v>
      </c>
      <c r="AL47" s="257">
        <f t="shared" si="60"/>
        <v>33116578.539999999</v>
      </c>
      <c r="AM47" s="257">
        <f t="shared" si="61"/>
        <v>99286667.689999998</v>
      </c>
      <c r="AN47" s="261">
        <f t="shared" si="62"/>
        <v>0.6664549298461806</v>
      </c>
      <c r="AO47" s="173">
        <f>'2020 RAW DATA'!K16</f>
        <v>117840876</v>
      </c>
      <c r="AP47" s="172">
        <f>'2020 RAW DATA'!J16</f>
        <v>19035679</v>
      </c>
      <c r="AQ47" s="165">
        <f t="shared" si="87"/>
        <v>136876555</v>
      </c>
      <c r="AR47" s="311">
        <f t="shared" si="48"/>
        <v>0.86092812607681424</v>
      </c>
      <c r="AS47" s="260">
        <f t="shared" si="95"/>
        <v>68155191.824499995</v>
      </c>
      <c r="AT47" s="256">
        <f t="shared" si="96"/>
        <v>4862468.5887000002</v>
      </c>
      <c r="AU47" s="257">
        <f t="shared" si="97"/>
        <v>67658443.146400005</v>
      </c>
      <c r="AV47" s="257">
        <f t="shared" si="98"/>
        <v>34606824.574299999</v>
      </c>
      <c r="AW47" s="257">
        <f t="shared" si="99"/>
        <v>102265267.7207</v>
      </c>
      <c r="AX47" s="261">
        <f t="shared" si="63"/>
        <v>0.66159747736821251</v>
      </c>
      <c r="AY47" s="173">
        <f>'2021 RAW Data'!K16</f>
        <v>109276991</v>
      </c>
      <c r="AZ47" s="172">
        <f>'2021 RAW Data'!J16</f>
        <v>28981016</v>
      </c>
      <c r="BA47" s="165">
        <f t="shared" si="64"/>
        <v>138258007</v>
      </c>
      <c r="BB47" s="311">
        <f t="shared" si="49"/>
        <v>0.79038453809044129</v>
      </c>
      <c r="BC47" s="260">
        <f t="shared" si="100"/>
        <v>69688196.440792009</v>
      </c>
      <c r="BD47" s="256">
        <f t="shared" si="101"/>
        <v>5008342.6463609999</v>
      </c>
      <c r="BE47" s="257">
        <f t="shared" si="102"/>
        <v>69169094.0721775</v>
      </c>
      <c r="BF47" s="257">
        <f t="shared" si="103"/>
        <v>36164131.680143498</v>
      </c>
      <c r="BG47" s="257">
        <f t="shared" si="104"/>
        <v>105333225.752321</v>
      </c>
      <c r="BH47" s="261">
        <f t="shared" si="65"/>
        <v>0.6566692852910504</v>
      </c>
      <c r="BI47" s="260">
        <f t="shared" si="66"/>
        <v>71244166.894342825</v>
      </c>
      <c r="BJ47" s="256">
        <f t="shared" si="67"/>
        <v>5158592.9257518295</v>
      </c>
      <c r="BK47" s="257">
        <f t="shared" si="105"/>
        <v>70701704.919140667</v>
      </c>
      <c r="BL47" s="257">
        <f t="shared" si="68"/>
        <v>37791517.60574995</v>
      </c>
      <c r="BM47" s="257">
        <f t="shared" si="88"/>
        <v>108493222.52489062</v>
      </c>
      <c r="BN47" s="261">
        <f t="shared" si="69"/>
        <v>0.65166932342635708</v>
      </c>
      <c r="BO47" s="260">
        <f t="shared" si="70"/>
        <v>72822756.066714883</v>
      </c>
      <c r="BP47" s="256">
        <f t="shared" si="71"/>
        <v>5313350.7135243844</v>
      </c>
      <c r="BQ47" s="257">
        <f t="shared" si="106"/>
        <v>72255883.302628636</v>
      </c>
      <c r="BR47" s="257">
        <f t="shared" si="72"/>
        <v>39492135.898008697</v>
      </c>
      <c r="BS47" s="257">
        <f t="shared" si="73"/>
        <v>111748019.20063734</v>
      </c>
      <c r="BT47" s="261">
        <f t="shared" si="74"/>
        <v>0.64659654658305155</v>
      </c>
      <c r="BU47" s="260">
        <f t="shared" si="75"/>
        <v>74423559.801707491</v>
      </c>
      <c r="BV47" s="256">
        <f t="shared" si="76"/>
        <v>5472751.2349301158</v>
      </c>
      <c r="BW47" s="257">
        <f t="shared" si="77"/>
        <v>73831177.763237387</v>
      </c>
      <c r="BX47" s="257">
        <f t="shared" si="78"/>
        <v>41269282.013419084</v>
      </c>
      <c r="BY47" s="257">
        <f t="shared" si="79"/>
        <v>115100459.77665646</v>
      </c>
      <c r="BZ47" s="261">
        <f t="shared" si="80"/>
        <v>0.64144989434882427</v>
      </c>
      <c r="CA47" s="260">
        <f t="shared" si="81"/>
        <v>76046113.096134514</v>
      </c>
      <c r="CB47" s="256">
        <f t="shared" si="82"/>
        <v>5636933.7719780197</v>
      </c>
      <c r="CC47" s="257">
        <f t="shared" si="83"/>
        <v>75427073.865933239</v>
      </c>
      <c r="CD47" s="257">
        <f t="shared" si="84"/>
        <v>43126399.704022937</v>
      </c>
      <c r="CE47" s="257">
        <f t="shared" si="85"/>
        <v>118553473.56995617</v>
      </c>
      <c r="CF47" s="261">
        <f t="shared" si="86"/>
        <v>0.63622829086846744</v>
      </c>
    </row>
    <row r="48" spans="1:84" x14ac:dyDescent="0.35">
      <c r="A48" s="56" t="s">
        <v>83</v>
      </c>
      <c r="B48" s="290">
        <f>'2014 RAW DATA'!K17</f>
        <v>4122144.0736680003</v>
      </c>
      <c r="C48" s="291">
        <f>'2014 RAW DATA'!J17</f>
        <v>71331.771366000001</v>
      </c>
      <c r="D48" s="292">
        <f t="shared" si="50"/>
        <v>4193475.8450340005</v>
      </c>
      <c r="E48" s="167">
        <f t="shared" si="91"/>
        <v>0.98298982180844729</v>
      </c>
      <c r="F48" s="173">
        <f>'2015 RAW DATA'!K17</f>
        <v>4470495.3342540013</v>
      </c>
      <c r="G48" s="293">
        <f>'2015 RAW DATA'!J17</f>
        <v>0</v>
      </c>
      <c r="H48" s="172">
        <f t="shared" si="51"/>
        <v>4470495.3342540013</v>
      </c>
      <c r="I48" s="167">
        <f t="shared" si="107"/>
        <v>1</v>
      </c>
      <c r="J48" s="173">
        <f>'2016 RAW DATA'!K17</f>
        <v>4605898.614930002</v>
      </c>
      <c r="K48" s="293">
        <f>'2016 RAW DATA'!J17</f>
        <v>0</v>
      </c>
      <c r="L48" s="172">
        <f t="shared" si="52"/>
        <v>4605898.614930002</v>
      </c>
      <c r="M48" s="167">
        <f t="shared" si="53"/>
        <v>1</v>
      </c>
      <c r="N48" s="173">
        <f>+'2017 RAW DATA'!K17</f>
        <v>4575182</v>
      </c>
      <c r="O48" s="293">
        <f>+'2017 RAW DATA'!J17</f>
        <v>0</v>
      </c>
      <c r="P48" s="172">
        <f>+N48++O48</f>
        <v>4575182</v>
      </c>
      <c r="Q48" s="167">
        <f t="shared" si="89"/>
        <v>1</v>
      </c>
      <c r="R48" s="165">
        <f>'2017 NEW RAW DATA '!K17</f>
        <v>4331575</v>
      </c>
      <c r="S48" s="165">
        <f>'2017 NEW RAW DATA '!J17</f>
        <v>0</v>
      </c>
      <c r="T48" s="165">
        <f t="shared" si="54"/>
        <v>4331575</v>
      </c>
      <c r="U48" s="167">
        <f t="shared" si="55"/>
        <v>1</v>
      </c>
      <c r="V48" s="165">
        <f>'2018 RAW DATA'!K17</f>
        <v>4313052</v>
      </c>
      <c r="W48" s="165">
        <f>'2018 RAW DATA'!J17</f>
        <v>0</v>
      </c>
      <c r="X48" s="165">
        <f t="shared" si="56"/>
        <v>4313052</v>
      </c>
      <c r="Y48" s="167">
        <f t="shared" si="57"/>
        <v>1</v>
      </c>
      <c r="Z48" s="306">
        <f>'2019 RAW DATA'!K17</f>
        <v>6344947</v>
      </c>
      <c r="AA48" s="165">
        <f>'2019 RAW DATA'!J17</f>
        <v>30722</v>
      </c>
      <c r="AB48" s="165">
        <f t="shared" si="92"/>
        <v>6375669</v>
      </c>
      <c r="AC48" s="239">
        <f t="shared" si="93"/>
        <v>0.99518136841796523</v>
      </c>
      <c r="AD48" s="239"/>
      <c r="AE48" s="239"/>
      <c r="AF48" s="167"/>
      <c r="AG48" s="116">
        <v>0</v>
      </c>
      <c r="AH48" s="298">
        <v>0.01</v>
      </c>
      <c r="AI48" s="260">
        <f t="shared" si="94"/>
        <v>6408396.4699999997</v>
      </c>
      <c r="AJ48" s="256">
        <f t="shared" si="58"/>
        <v>0</v>
      </c>
      <c r="AK48" s="257">
        <f t="shared" si="59"/>
        <v>6408396.4699999997</v>
      </c>
      <c r="AL48" s="257">
        <f t="shared" si="60"/>
        <v>31029.220000000671</v>
      </c>
      <c r="AM48" s="257">
        <f t="shared" si="61"/>
        <v>6439425.6900000004</v>
      </c>
      <c r="AN48" s="261">
        <f t="shared" si="62"/>
        <v>0.99518136841796512</v>
      </c>
      <c r="AO48" s="173">
        <f>'2020 RAW DATA'!K17</f>
        <v>12880343</v>
      </c>
      <c r="AP48" s="172">
        <f>'2020 RAW DATA'!J17</f>
        <v>28512</v>
      </c>
      <c r="AQ48" s="165">
        <f t="shared" si="87"/>
        <v>12908855</v>
      </c>
      <c r="AR48" s="311">
        <f t="shared" si="48"/>
        <v>0.99779128358014713</v>
      </c>
      <c r="AS48" s="260">
        <f t="shared" si="95"/>
        <v>6472480.4347000001</v>
      </c>
      <c r="AT48" s="256">
        <f t="shared" si="96"/>
        <v>0</v>
      </c>
      <c r="AU48" s="257">
        <f t="shared" si="97"/>
        <v>6472325.2885999996</v>
      </c>
      <c r="AV48" s="257">
        <f t="shared" si="98"/>
        <v>31494.658300000676</v>
      </c>
      <c r="AW48" s="257">
        <f t="shared" si="99"/>
        <v>6503819.9468999999</v>
      </c>
      <c r="AX48" s="261">
        <f t="shared" si="63"/>
        <v>0.9951575138061729</v>
      </c>
      <c r="AY48" s="173">
        <f>'2021 RAW Data'!K17</f>
        <v>14033430</v>
      </c>
      <c r="AZ48" s="172">
        <f>'2021 RAW Data'!J17</f>
        <v>137269</v>
      </c>
      <c r="BA48" s="165">
        <f t="shared" si="64"/>
        <v>14170699</v>
      </c>
      <c r="BB48" s="311">
        <f t="shared" si="49"/>
        <v>0.99031318074006092</v>
      </c>
      <c r="BC48" s="260">
        <f t="shared" si="100"/>
        <v>6537048.5414859997</v>
      </c>
      <c r="BD48" s="256">
        <f t="shared" si="101"/>
        <v>0</v>
      </c>
      <c r="BE48" s="257">
        <f t="shared" si="102"/>
        <v>6536891.0681944983</v>
      </c>
      <c r="BF48" s="257">
        <f t="shared" si="103"/>
        <v>31967.078174500683</v>
      </c>
      <c r="BG48" s="257">
        <f t="shared" si="104"/>
        <v>6568858.146368999</v>
      </c>
      <c r="BH48" s="261">
        <f t="shared" si="65"/>
        <v>0.99513354110224306</v>
      </c>
      <c r="BI48" s="260">
        <f t="shared" si="66"/>
        <v>6602259.9788764436</v>
      </c>
      <c r="BJ48" s="256">
        <f t="shared" si="67"/>
        <v>0</v>
      </c>
      <c r="BK48" s="257">
        <f t="shared" si="105"/>
        <v>6602100.1434855713</v>
      </c>
      <c r="BL48" s="257">
        <f t="shared" si="68"/>
        <v>32446.584347118191</v>
      </c>
      <c r="BM48" s="257">
        <f t="shared" si="88"/>
        <v>6634546.7278326899</v>
      </c>
      <c r="BN48" s="261">
        <f t="shared" si="69"/>
        <v>0.99510944972156101</v>
      </c>
      <c r="BO48" s="260">
        <f t="shared" si="70"/>
        <v>6668121.1449204274</v>
      </c>
      <c r="BP48" s="256">
        <f t="shared" si="71"/>
        <v>0</v>
      </c>
      <c r="BQ48" s="257">
        <f t="shared" si="106"/>
        <v>6667958.911998692</v>
      </c>
      <c r="BR48" s="257">
        <f t="shared" si="72"/>
        <v>32933.283112324963</v>
      </c>
      <c r="BS48" s="257">
        <f t="shared" si="73"/>
        <v>6700892.1951110167</v>
      </c>
      <c r="BT48" s="261">
        <f t="shared" si="74"/>
        <v>0.99508523907661839</v>
      </c>
      <c r="BU48" s="260">
        <f t="shared" si="75"/>
        <v>6734638.5011186786</v>
      </c>
      <c r="BV48" s="256">
        <f t="shared" si="76"/>
        <v>0</v>
      </c>
      <c r="BW48" s="257">
        <f t="shared" si="77"/>
        <v>6734473.8347031185</v>
      </c>
      <c r="BX48" s="257">
        <f t="shared" si="78"/>
        <v>33427.282359009834</v>
      </c>
      <c r="BY48" s="257">
        <f t="shared" si="79"/>
        <v>6767901.1170621281</v>
      </c>
      <c r="BZ48" s="261">
        <f t="shared" si="80"/>
        <v>0.99506090857699769</v>
      </c>
      <c r="CA48" s="260">
        <f t="shared" si="81"/>
        <v>6801818.5730501497</v>
      </c>
      <c r="CB48" s="256">
        <f t="shared" si="82"/>
        <v>0</v>
      </c>
      <c r="CC48" s="257">
        <f t="shared" si="83"/>
        <v>6801651.4366383525</v>
      </c>
      <c r="CD48" s="257">
        <f t="shared" si="84"/>
        <v>33928.691594394979</v>
      </c>
      <c r="CE48" s="257">
        <f t="shared" si="85"/>
        <v>6835580.1282327473</v>
      </c>
      <c r="CF48" s="261">
        <f t="shared" si="86"/>
        <v>0.99503645762935899</v>
      </c>
    </row>
    <row r="49" spans="1:84" x14ac:dyDescent="0.35">
      <c r="A49" s="56" t="s">
        <v>84</v>
      </c>
      <c r="B49" s="290">
        <f>'2014 RAW DATA'!K18</f>
        <v>1686036.8270280003</v>
      </c>
      <c r="C49" s="291">
        <f>'2014 RAW DATA'!J18</f>
        <v>27721.727849999999</v>
      </c>
      <c r="D49" s="292">
        <f t="shared" si="50"/>
        <v>1713758.5548780002</v>
      </c>
      <c r="E49" s="167">
        <f t="shared" si="91"/>
        <v>0.98382401781680773</v>
      </c>
      <c r="F49" s="173">
        <f>'2015 RAW DATA'!K18</f>
        <v>1794975.1842900002</v>
      </c>
      <c r="G49" s="293">
        <f>'2015 RAW DATA'!J18</f>
        <v>33836.558519999999</v>
      </c>
      <c r="H49" s="172">
        <f t="shared" si="51"/>
        <v>1828811.7428100002</v>
      </c>
      <c r="I49" s="167">
        <f t="shared" si="107"/>
        <v>0.98149806361806846</v>
      </c>
      <c r="J49" s="173">
        <f>'2016 RAW DATA'!K18</f>
        <v>1861616.0919179998</v>
      </c>
      <c r="K49" s="293">
        <f>'2016 RAW DATA'!J18</f>
        <v>35091.005952</v>
      </c>
      <c r="L49" s="172">
        <f t="shared" si="52"/>
        <v>1896707.0978699997</v>
      </c>
      <c r="M49" s="167">
        <f t="shared" si="53"/>
        <v>0.98149898527220825</v>
      </c>
      <c r="N49" s="173">
        <f>+'2017 RAW DATA'!K18</f>
        <v>1066505</v>
      </c>
      <c r="O49" s="293">
        <f>+'2017 RAW DATA'!J18</f>
        <v>71364</v>
      </c>
      <c r="P49" s="172">
        <f>+N49++O49</f>
        <v>1137869</v>
      </c>
      <c r="Q49" s="167">
        <f>N49/P49</f>
        <v>0.9372827627784921</v>
      </c>
      <c r="R49" s="165">
        <f>'2017 NEW RAW DATA '!K18</f>
        <v>1088638</v>
      </c>
      <c r="S49" s="165">
        <f>'2017 NEW RAW DATA '!J18</f>
        <v>69759</v>
      </c>
      <c r="T49" s="165">
        <f t="shared" si="54"/>
        <v>1158397</v>
      </c>
      <c r="U49" s="167">
        <f t="shared" si="55"/>
        <v>0.939779712827295</v>
      </c>
      <c r="V49" s="165">
        <f>'2018 RAW DATA'!K18</f>
        <v>1345477</v>
      </c>
      <c r="W49" s="165">
        <f>'2018 RAW DATA'!J18</f>
        <v>65325</v>
      </c>
      <c r="X49" s="165">
        <f t="shared" si="56"/>
        <v>1410802</v>
      </c>
      <c r="Y49" s="167">
        <f t="shared" si="57"/>
        <v>0.95369654990565655</v>
      </c>
      <c r="Z49" s="306">
        <f>'2019 RAW DATA'!K18</f>
        <v>1153786</v>
      </c>
      <c r="AA49" s="165">
        <f>'2019 RAW DATA'!J18</f>
        <v>53993</v>
      </c>
      <c r="AB49" s="165">
        <f t="shared" si="92"/>
        <v>1207779</v>
      </c>
      <c r="AC49" s="239">
        <f t="shared" si="93"/>
        <v>0.95529562941564639</v>
      </c>
      <c r="AD49" s="239"/>
      <c r="AE49" s="239"/>
      <c r="AF49" s="167"/>
      <c r="AG49" s="116">
        <v>21412</v>
      </c>
      <c r="AH49" s="298">
        <v>0.01</v>
      </c>
      <c r="AI49" s="260">
        <f t="shared" si="94"/>
        <v>1165323.8600000001</v>
      </c>
      <c r="AJ49" s="256">
        <f t="shared" si="58"/>
        <v>21626.12</v>
      </c>
      <c r="AK49" s="257">
        <f t="shared" si="59"/>
        <v>1143697.74</v>
      </c>
      <c r="AL49" s="257">
        <f t="shared" si="60"/>
        <v>76159.050000000047</v>
      </c>
      <c r="AM49" s="257">
        <f t="shared" si="61"/>
        <v>1219856.79</v>
      </c>
      <c r="AN49" s="261">
        <f t="shared" si="62"/>
        <v>0.93756722049315311</v>
      </c>
      <c r="AO49" s="173">
        <f>'2020 RAW DATA'!K18</f>
        <v>2614126</v>
      </c>
      <c r="AP49" s="172">
        <f>'2020 RAW DATA'!J18</f>
        <v>94237</v>
      </c>
      <c r="AQ49" s="165">
        <f t="shared" si="87"/>
        <v>2708363</v>
      </c>
      <c r="AR49" s="311">
        <f t="shared" si="48"/>
        <v>0.96520518113709275</v>
      </c>
      <c r="AS49" s="260">
        <f t="shared" si="95"/>
        <v>1155134.7174</v>
      </c>
      <c r="AT49" s="256">
        <f t="shared" si="96"/>
        <v>21842.3812</v>
      </c>
      <c r="AU49" s="257">
        <f t="shared" si="97"/>
        <v>1154753.92215</v>
      </c>
      <c r="AV49" s="257">
        <f t="shared" si="98"/>
        <v>77301.435750000033</v>
      </c>
      <c r="AW49" s="257">
        <f t="shared" si="99"/>
        <v>1232055.3578999999</v>
      </c>
      <c r="AX49" s="261">
        <f t="shared" si="63"/>
        <v>0.93725814732727775</v>
      </c>
      <c r="AY49" s="173">
        <f>'2021 RAW Data'!K18</f>
        <v>2877970</v>
      </c>
      <c r="AZ49" s="172">
        <f>'2021 RAW Data'!J18</f>
        <v>38635</v>
      </c>
      <c r="BA49" s="165">
        <f t="shared" si="64"/>
        <v>2916605</v>
      </c>
      <c r="BB49" s="311">
        <f t="shared" si="49"/>
        <v>0.98675343421546624</v>
      </c>
      <c r="BC49" s="260">
        <f t="shared" si="100"/>
        <v>1166301.4613715</v>
      </c>
      <c r="BD49" s="256">
        <f t="shared" si="101"/>
        <v>22060.805011999997</v>
      </c>
      <c r="BE49" s="257">
        <f t="shared" si="102"/>
        <v>1165914.9541927499</v>
      </c>
      <c r="BF49" s="257">
        <f t="shared" si="103"/>
        <v>78460.957286250021</v>
      </c>
      <c r="BG49" s="257">
        <f t="shared" si="104"/>
        <v>1244375.911479</v>
      </c>
      <c r="BH49" s="261">
        <f t="shared" si="65"/>
        <v>0.93694754409622449</v>
      </c>
      <c r="BI49" s="260">
        <f t="shared" si="66"/>
        <v>1177574.1037346774</v>
      </c>
      <c r="BJ49" s="256">
        <f t="shared" si="67"/>
        <v>22281.413062120002</v>
      </c>
      <c r="BK49" s="257">
        <f t="shared" si="105"/>
        <v>1177181.7989482463</v>
      </c>
      <c r="BL49" s="257">
        <f t="shared" si="68"/>
        <v>79637.871645543768</v>
      </c>
      <c r="BM49" s="257">
        <f t="shared" si="88"/>
        <v>1256819.67059379</v>
      </c>
      <c r="BN49" s="261">
        <f t="shared" si="69"/>
        <v>0.93663540322541383</v>
      </c>
      <c r="BO49" s="260">
        <f t="shared" si="70"/>
        <v>1188953.6169377288</v>
      </c>
      <c r="BP49" s="256">
        <f t="shared" si="71"/>
        <v>22504.227192741197</v>
      </c>
      <c r="BQ49" s="257">
        <f t="shared" si="106"/>
        <v>1188555.4275795009</v>
      </c>
      <c r="BR49" s="257">
        <f t="shared" si="72"/>
        <v>80832.439720226917</v>
      </c>
      <c r="BS49" s="257">
        <f t="shared" si="73"/>
        <v>1269387.8672997279</v>
      </c>
      <c r="BT49" s="261">
        <f t="shared" si="74"/>
        <v>0.93632171710276735</v>
      </c>
      <c r="BU49" s="260">
        <f t="shared" si="75"/>
        <v>1200440.9818552961</v>
      </c>
      <c r="BV49" s="256">
        <f t="shared" si="76"/>
        <v>22729.269464668614</v>
      </c>
      <c r="BW49" s="257">
        <f t="shared" si="77"/>
        <v>1200036.819656695</v>
      </c>
      <c r="BX49" s="257">
        <f t="shared" si="78"/>
        <v>82044.926316030309</v>
      </c>
      <c r="BY49" s="257">
        <f t="shared" si="79"/>
        <v>1282081.7459727253</v>
      </c>
      <c r="BZ49" s="261">
        <f t="shared" si="80"/>
        <v>0.93600647807852366</v>
      </c>
      <c r="CA49" s="260">
        <f t="shared" si="81"/>
        <v>1212037.1878532621</v>
      </c>
      <c r="CB49" s="256">
        <f t="shared" si="82"/>
        <v>22956.562159315294</v>
      </c>
      <c r="CC49" s="257">
        <f t="shared" si="83"/>
        <v>1211626.9632216815</v>
      </c>
      <c r="CD49" s="257">
        <f t="shared" si="84"/>
        <v>83275.600210770761</v>
      </c>
      <c r="CE49" s="257">
        <f t="shared" si="85"/>
        <v>1294902.5634324523</v>
      </c>
      <c r="CF49" s="261">
        <f t="shared" si="86"/>
        <v>0.93568967846505102</v>
      </c>
    </row>
    <row r="50" spans="1:84" x14ac:dyDescent="0.35">
      <c r="A50" s="56" t="s">
        <v>85</v>
      </c>
      <c r="B50" s="290">
        <f>'2014 RAW DATA'!K19</f>
        <v>3138748.233126</v>
      </c>
      <c r="C50" s="291">
        <f>'2014 RAW DATA'!J19</f>
        <v>0</v>
      </c>
      <c r="D50" s="292">
        <f t="shared" si="50"/>
        <v>3138748.233126</v>
      </c>
      <c r="E50" s="167">
        <f t="shared" si="91"/>
        <v>1</v>
      </c>
      <c r="F50" s="173">
        <f>'2015 RAW DATA'!K19</f>
        <v>3345940.4162280005</v>
      </c>
      <c r="G50" s="293">
        <f>'2015 RAW DATA'!J19</f>
        <v>0</v>
      </c>
      <c r="H50" s="172">
        <f t="shared" si="51"/>
        <v>3345940.4162280005</v>
      </c>
      <c r="I50" s="167">
        <f t="shared" si="107"/>
        <v>1</v>
      </c>
      <c r="J50" s="173">
        <f>'2016 RAW DATA'!K19</f>
        <v>3469676.9001599993</v>
      </c>
      <c r="K50" s="293">
        <f>'2016 RAW DATA'!J19</f>
        <v>0</v>
      </c>
      <c r="L50" s="172">
        <f t="shared" si="52"/>
        <v>3469676.9001599993</v>
      </c>
      <c r="M50" s="167">
        <f t="shared" si="53"/>
        <v>1</v>
      </c>
      <c r="N50" s="173">
        <f>+'2017 RAW DATA'!K19</f>
        <v>1288987</v>
      </c>
      <c r="O50" s="293">
        <f>+'2017 RAW DATA'!J19</f>
        <v>0</v>
      </c>
      <c r="P50" s="172">
        <f t="shared" si="90"/>
        <v>1288987</v>
      </c>
      <c r="Q50" s="167">
        <f t="shared" si="89"/>
        <v>1</v>
      </c>
      <c r="R50" s="165">
        <f>'2017 NEW RAW DATA '!K19</f>
        <v>904410</v>
      </c>
      <c r="S50" s="165">
        <f>'2017 NEW RAW DATA '!J19</f>
        <v>0</v>
      </c>
      <c r="T50" s="165">
        <f t="shared" si="54"/>
        <v>904410</v>
      </c>
      <c r="U50" s="167">
        <f t="shared" si="55"/>
        <v>1</v>
      </c>
      <c r="V50" s="165">
        <f>'2018 RAW DATA'!K19</f>
        <v>880218</v>
      </c>
      <c r="W50" s="165">
        <f>'2018 RAW DATA'!J19</f>
        <v>0</v>
      </c>
      <c r="X50" s="165">
        <f t="shared" si="56"/>
        <v>880218</v>
      </c>
      <c r="Y50" s="167">
        <f t="shared" si="57"/>
        <v>1</v>
      </c>
      <c r="Z50" s="306">
        <f>'2019 RAW DATA'!K19</f>
        <v>640667</v>
      </c>
      <c r="AA50" s="165">
        <f>'2019 RAW DATA'!J19</f>
        <v>0</v>
      </c>
      <c r="AB50" s="165">
        <f t="shared" si="92"/>
        <v>640667</v>
      </c>
      <c r="AC50" s="239">
        <f t="shared" si="93"/>
        <v>1</v>
      </c>
      <c r="AD50" s="239"/>
      <c r="AE50" s="239"/>
      <c r="AF50" s="167"/>
      <c r="AG50" s="116">
        <v>0</v>
      </c>
      <c r="AH50" s="298">
        <v>0.01</v>
      </c>
      <c r="AI50" s="260">
        <f t="shared" si="94"/>
        <v>647073.67000000004</v>
      </c>
      <c r="AJ50" s="256">
        <f t="shared" si="58"/>
        <v>0</v>
      </c>
      <c r="AK50" s="257">
        <f t="shared" si="59"/>
        <v>647073.67000000004</v>
      </c>
      <c r="AL50" s="257">
        <f t="shared" si="60"/>
        <v>0</v>
      </c>
      <c r="AM50" s="257">
        <f t="shared" si="61"/>
        <v>647073.67000000004</v>
      </c>
      <c r="AN50" s="261">
        <f t="shared" si="62"/>
        <v>1</v>
      </c>
      <c r="AO50" s="173">
        <f>'2020 RAW DATA'!K19</f>
        <v>2283952</v>
      </c>
      <c r="AP50" s="172">
        <f>'2020 RAW DATA'!J19</f>
        <v>0</v>
      </c>
      <c r="AQ50" s="165">
        <f t="shared" si="87"/>
        <v>2283952</v>
      </c>
      <c r="AR50" s="311">
        <f t="shared" si="48"/>
        <v>1</v>
      </c>
      <c r="AS50" s="260">
        <f t="shared" si="95"/>
        <v>653544.40670000005</v>
      </c>
      <c r="AT50" s="256">
        <f t="shared" si="96"/>
        <v>0</v>
      </c>
      <c r="AU50" s="257">
        <f t="shared" si="97"/>
        <v>653544.40670000005</v>
      </c>
      <c r="AV50" s="257">
        <f t="shared" si="98"/>
        <v>0</v>
      </c>
      <c r="AW50" s="257">
        <f t="shared" si="99"/>
        <v>653544.40670000005</v>
      </c>
      <c r="AX50" s="261">
        <f t="shared" si="63"/>
        <v>1</v>
      </c>
      <c r="AY50" s="173">
        <f>'2021 RAW Data'!K19</f>
        <v>2343794</v>
      </c>
      <c r="AZ50" s="172">
        <f>'2021 RAW Data'!J19</f>
        <v>0</v>
      </c>
      <c r="BA50" s="165">
        <f t="shared" si="64"/>
        <v>2343794</v>
      </c>
      <c r="BB50" s="311">
        <f t="shared" si="49"/>
        <v>1</v>
      </c>
      <c r="BC50" s="260">
        <f t="shared" si="100"/>
        <v>660079.85076700011</v>
      </c>
      <c r="BD50" s="256">
        <f t="shared" si="101"/>
        <v>0</v>
      </c>
      <c r="BE50" s="257">
        <f t="shared" si="102"/>
        <v>660079.850767</v>
      </c>
      <c r="BF50" s="257">
        <f t="shared" si="103"/>
        <v>0</v>
      </c>
      <c r="BG50" s="257">
        <f t="shared" si="104"/>
        <v>660079.850767</v>
      </c>
      <c r="BH50" s="261">
        <f t="shared" si="65"/>
        <v>1</v>
      </c>
      <c r="BI50" s="260">
        <f t="shared" si="66"/>
        <v>666680.64927467005</v>
      </c>
      <c r="BJ50" s="256">
        <f t="shared" si="67"/>
        <v>0</v>
      </c>
      <c r="BK50" s="257">
        <f t="shared" si="105"/>
        <v>666680.64927467005</v>
      </c>
      <c r="BL50" s="257">
        <f t="shared" si="68"/>
        <v>0</v>
      </c>
      <c r="BM50" s="257">
        <f t="shared" si="88"/>
        <v>666680.64927467005</v>
      </c>
      <c r="BN50" s="261">
        <f t="shared" si="69"/>
        <v>1</v>
      </c>
      <c r="BO50" s="260">
        <f t="shared" si="70"/>
        <v>673347.45576741674</v>
      </c>
      <c r="BP50" s="256">
        <f t="shared" si="71"/>
        <v>0</v>
      </c>
      <c r="BQ50" s="257">
        <f t="shared" si="106"/>
        <v>673347.45576741663</v>
      </c>
      <c r="BR50" s="257">
        <f t="shared" si="72"/>
        <v>0</v>
      </c>
      <c r="BS50" s="257">
        <f t="shared" si="73"/>
        <v>673347.45576741663</v>
      </c>
      <c r="BT50" s="261">
        <f t="shared" si="74"/>
        <v>1</v>
      </c>
      <c r="BU50" s="260">
        <f t="shared" si="75"/>
        <v>680080.93032509077</v>
      </c>
      <c r="BV50" s="256">
        <f t="shared" si="76"/>
        <v>0</v>
      </c>
      <c r="BW50" s="257">
        <f t="shared" si="77"/>
        <v>680080.930325091</v>
      </c>
      <c r="BX50" s="257">
        <f t="shared" si="78"/>
        <v>0</v>
      </c>
      <c r="BY50" s="257">
        <f t="shared" si="79"/>
        <v>680080.930325091</v>
      </c>
      <c r="BZ50" s="261">
        <f t="shared" si="80"/>
        <v>1</v>
      </c>
      <c r="CA50" s="260">
        <f t="shared" si="81"/>
        <v>686881.73962834186</v>
      </c>
      <c r="CB50" s="256">
        <f t="shared" si="82"/>
        <v>0</v>
      </c>
      <c r="CC50" s="257">
        <f t="shared" si="83"/>
        <v>686881.73962834163</v>
      </c>
      <c r="CD50" s="257">
        <f t="shared" si="84"/>
        <v>0</v>
      </c>
      <c r="CE50" s="257">
        <f t="shared" si="85"/>
        <v>686881.73962834163</v>
      </c>
      <c r="CF50" s="261">
        <f t="shared" si="86"/>
        <v>1</v>
      </c>
    </row>
    <row r="51" spans="1:84" x14ac:dyDescent="0.35">
      <c r="A51" s="56" t="s">
        <v>86</v>
      </c>
      <c r="B51" s="290">
        <f>'2014 RAW DATA'!K20</f>
        <v>849136.99040399981</v>
      </c>
      <c r="C51" s="291">
        <f>'2014 RAW DATA'!J20</f>
        <v>0</v>
      </c>
      <c r="D51" s="292">
        <f t="shared" si="50"/>
        <v>849136.99040399981</v>
      </c>
      <c r="E51" s="167">
        <f t="shared" si="91"/>
        <v>1</v>
      </c>
      <c r="F51" s="173">
        <f>'2015 RAW DATA'!K20</f>
        <v>905163.86340600008</v>
      </c>
      <c r="G51" s="293">
        <f>'2015 RAW DATA'!J20</f>
        <v>0</v>
      </c>
      <c r="H51" s="172">
        <f t="shared" si="51"/>
        <v>905163.86340600008</v>
      </c>
      <c r="I51" s="167">
        <f t="shared" si="107"/>
        <v>1</v>
      </c>
      <c r="J51" s="173">
        <f>'2016 RAW DATA'!K20</f>
        <v>938690.42317800014</v>
      </c>
      <c r="K51" s="293">
        <f>'2016 RAW DATA'!J20</f>
        <v>0</v>
      </c>
      <c r="L51" s="172">
        <f t="shared" si="52"/>
        <v>938690.42317800014</v>
      </c>
      <c r="M51" s="167">
        <f t="shared" si="53"/>
        <v>1</v>
      </c>
      <c r="N51" s="173">
        <f>+'2017 RAW DATA'!K20</f>
        <v>873695</v>
      </c>
      <c r="O51" s="293">
        <f>+'2017 RAW DATA'!J20</f>
        <v>0</v>
      </c>
      <c r="P51" s="172">
        <f t="shared" si="90"/>
        <v>873695</v>
      </c>
      <c r="Q51" s="167">
        <f t="shared" si="89"/>
        <v>1</v>
      </c>
      <c r="R51" s="165">
        <f>'2017 NEW RAW DATA '!K20</f>
        <v>853598</v>
      </c>
      <c r="S51" s="165">
        <f>'2017 NEW RAW DATA '!J20</f>
        <v>0</v>
      </c>
      <c r="T51" s="165">
        <f t="shared" si="54"/>
        <v>853598</v>
      </c>
      <c r="U51" s="167">
        <f t="shared" si="55"/>
        <v>1</v>
      </c>
      <c r="V51" s="165">
        <f>'2018 RAW DATA'!K20</f>
        <v>886583</v>
      </c>
      <c r="W51" s="165">
        <f>'2018 RAW DATA'!J20</f>
        <v>0</v>
      </c>
      <c r="X51" s="165">
        <f t="shared" si="56"/>
        <v>886583</v>
      </c>
      <c r="Y51" s="167">
        <f t="shared" si="57"/>
        <v>1</v>
      </c>
      <c r="Z51" s="306">
        <f>'2019 RAW DATA'!K20</f>
        <v>693792</v>
      </c>
      <c r="AA51" s="165">
        <f>'2019 RAW DATA'!J20</f>
        <v>16</v>
      </c>
      <c r="AB51" s="165">
        <f t="shared" si="92"/>
        <v>693808</v>
      </c>
      <c r="AC51" s="239">
        <f t="shared" si="93"/>
        <v>0.99997693886493089</v>
      </c>
      <c r="AD51" s="239"/>
      <c r="AE51" s="239"/>
      <c r="AF51" s="167"/>
      <c r="AG51" s="116">
        <v>6</v>
      </c>
      <c r="AH51" s="298">
        <v>0.02</v>
      </c>
      <c r="AI51" s="260">
        <f t="shared" si="94"/>
        <v>707667.84</v>
      </c>
      <c r="AJ51" s="256">
        <f t="shared" si="58"/>
        <v>6.12</v>
      </c>
      <c r="AK51" s="257">
        <f t="shared" si="59"/>
        <v>707661.72</v>
      </c>
      <c r="AL51" s="257">
        <f t="shared" si="60"/>
        <v>22.440000000060536</v>
      </c>
      <c r="AM51" s="257">
        <f t="shared" si="61"/>
        <v>707684.16</v>
      </c>
      <c r="AN51" s="261">
        <f t="shared" si="62"/>
        <v>0.99996829093927997</v>
      </c>
      <c r="AO51" s="173">
        <f>'2020 RAW DATA'!K20</f>
        <v>1068521</v>
      </c>
      <c r="AP51" s="172">
        <f>'2020 RAW DATA'!J20</f>
        <v>0</v>
      </c>
      <c r="AQ51" s="165">
        <f t="shared" si="87"/>
        <v>1068521</v>
      </c>
      <c r="AR51" s="311">
        <f t="shared" si="48"/>
        <v>1</v>
      </c>
      <c r="AS51" s="260">
        <f t="shared" si="95"/>
        <v>721814.95439999993</v>
      </c>
      <c r="AT51" s="256">
        <f t="shared" si="96"/>
        <v>6.2423999999999999</v>
      </c>
      <c r="AU51" s="257">
        <f t="shared" si="97"/>
        <v>721814.73</v>
      </c>
      <c r="AV51" s="257">
        <f t="shared" si="98"/>
        <v>23.113200000062353</v>
      </c>
      <c r="AW51" s="257">
        <f t="shared" si="99"/>
        <v>721837.8432</v>
      </c>
      <c r="AX51" s="261">
        <f t="shared" si="63"/>
        <v>0.99996798006613574</v>
      </c>
      <c r="AY51" s="173">
        <f>'2021 RAW Data'!K20</f>
        <v>1048780</v>
      </c>
      <c r="AZ51" s="172">
        <f>'2021 RAW Data'!J20</f>
        <v>0</v>
      </c>
      <c r="BA51" s="165">
        <f t="shared" si="64"/>
        <v>1048780</v>
      </c>
      <c r="BB51" s="311">
        <f t="shared" si="49"/>
        <v>1</v>
      </c>
      <c r="BC51" s="260">
        <f t="shared" si="100"/>
        <v>736251.0246</v>
      </c>
      <c r="BD51" s="256">
        <f t="shared" si="101"/>
        <v>6.367248</v>
      </c>
      <c r="BE51" s="257">
        <f t="shared" si="102"/>
        <v>736250.7934679999</v>
      </c>
      <c r="BF51" s="257">
        <f t="shared" si="103"/>
        <v>23.806596000064225</v>
      </c>
      <c r="BG51" s="257">
        <f t="shared" si="104"/>
        <v>736274.600064</v>
      </c>
      <c r="BH51" s="261">
        <f t="shared" si="65"/>
        <v>0.99996766614521537</v>
      </c>
      <c r="BI51" s="260">
        <f t="shared" si="66"/>
        <v>750975.80933735997</v>
      </c>
      <c r="BJ51" s="256">
        <f t="shared" si="67"/>
        <v>6.4945929600000003</v>
      </c>
      <c r="BK51" s="257">
        <f t="shared" si="105"/>
        <v>750975.57127139985</v>
      </c>
      <c r="BL51" s="257">
        <f t="shared" si="68"/>
        <v>24.520793880066151</v>
      </c>
      <c r="BM51" s="257">
        <f t="shared" si="88"/>
        <v>751000.09206527995</v>
      </c>
      <c r="BN51" s="261">
        <f t="shared" si="69"/>
        <v>0.99996734914663898</v>
      </c>
      <c r="BO51" s="260">
        <f t="shared" si="70"/>
        <v>765995.08269682783</v>
      </c>
      <c r="BP51" s="256">
        <f t="shared" si="71"/>
        <v>6.6244848192000001</v>
      </c>
      <c r="BQ51" s="257">
        <f t="shared" si="106"/>
        <v>765994.83748888911</v>
      </c>
      <c r="BR51" s="257">
        <f t="shared" si="72"/>
        <v>25.256417696468137</v>
      </c>
      <c r="BS51" s="257">
        <f t="shared" si="73"/>
        <v>766020.09390658559</v>
      </c>
      <c r="BT51" s="261">
        <f t="shared" si="74"/>
        <v>0.9999670290402336</v>
      </c>
      <c r="BU51" s="260">
        <f t="shared" si="75"/>
        <v>781314.73423866695</v>
      </c>
      <c r="BV51" s="256">
        <f t="shared" si="76"/>
        <v>6.756974515584</v>
      </c>
      <c r="BW51" s="257">
        <f t="shared" si="77"/>
        <v>781314.48167449003</v>
      </c>
      <c r="BX51" s="257">
        <f t="shared" si="78"/>
        <v>26.014110227362181</v>
      </c>
      <c r="BY51" s="257">
        <f t="shared" si="79"/>
        <v>781340.49578471738</v>
      </c>
      <c r="BZ51" s="261">
        <f t="shared" si="80"/>
        <v>0.99996670579553004</v>
      </c>
      <c r="CA51" s="260">
        <f t="shared" si="81"/>
        <v>796940.77130797983</v>
      </c>
      <c r="CB51" s="256">
        <f t="shared" si="82"/>
        <v>6.8921140058956789</v>
      </c>
      <c r="CC51" s="257">
        <f t="shared" si="83"/>
        <v>796940.51116687735</v>
      </c>
      <c r="CD51" s="257">
        <f t="shared" si="84"/>
        <v>26.794533534183046</v>
      </c>
      <c r="CE51" s="257">
        <f t="shared" si="85"/>
        <v>796967.30570041155</v>
      </c>
      <c r="CF51" s="261">
        <f t="shared" si="86"/>
        <v>0.99996637938176058</v>
      </c>
    </row>
    <row r="52" spans="1:84" x14ac:dyDescent="0.35">
      <c r="A52" s="56" t="s">
        <v>87</v>
      </c>
      <c r="B52" s="290">
        <f>'2014 RAW DATA'!K21</f>
        <v>2668467.4272780004</v>
      </c>
      <c r="C52" s="291">
        <f>'2014 RAW DATA'!J21</f>
        <v>61211.656619999994</v>
      </c>
      <c r="D52" s="292">
        <f t="shared" si="50"/>
        <v>2729679.0838980004</v>
      </c>
      <c r="E52" s="167">
        <f t="shared" si="91"/>
        <v>0.97757551172184343</v>
      </c>
      <c r="F52" s="173">
        <f>'2015 RAW DATA'!K21</f>
        <v>2904422.6694180002</v>
      </c>
      <c r="G52" s="293">
        <f>'2015 RAW DATA'!J21</f>
        <v>33069.490134</v>
      </c>
      <c r="H52" s="172">
        <f t="shared" si="51"/>
        <v>2937492.159552</v>
      </c>
      <c r="I52" s="167">
        <f t="shared" si="107"/>
        <v>0.98874227118310221</v>
      </c>
      <c r="J52" s="173">
        <f>'2016 RAW DATA'!K21</f>
        <v>3035497.0406340011</v>
      </c>
      <c r="K52" s="293">
        <f>'2016 RAW DATA'!J21</f>
        <v>10751.922318000001</v>
      </c>
      <c r="L52" s="172">
        <f t="shared" si="52"/>
        <v>3046248.962952001</v>
      </c>
      <c r="M52" s="167">
        <f t="shared" si="53"/>
        <v>0.99647043874326657</v>
      </c>
      <c r="N52" s="173">
        <f>+'2017 RAW DATA'!K21</f>
        <v>3150478</v>
      </c>
      <c r="O52" s="293">
        <f>+'2017 RAW DATA'!J21</f>
        <v>0</v>
      </c>
      <c r="P52" s="172">
        <f t="shared" si="90"/>
        <v>3150478</v>
      </c>
      <c r="Q52" s="167">
        <f t="shared" si="89"/>
        <v>1</v>
      </c>
      <c r="R52" s="165">
        <f>'2017 NEW RAW DATA '!K21</f>
        <v>2655208</v>
      </c>
      <c r="S52" s="165">
        <f>'2017 NEW RAW DATA '!J21</f>
        <v>0</v>
      </c>
      <c r="T52" s="165">
        <f t="shared" si="54"/>
        <v>2655208</v>
      </c>
      <c r="U52" s="167">
        <f t="shared" si="55"/>
        <v>1</v>
      </c>
      <c r="V52" s="165">
        <f>'2018 RAW DATA'!K21</f>
        <v>2048379</v>
      </c>
      <c r="W52" s="165">
        <f>'2018 RAW DATA'!J21</f>
        <v>342619</v>
      </c>
      <c r="X52" s="165">
        <f t="shared" si="56"/>
        <v>2390998</v>
      </c>
      <c r="Y52" s="167">
        <f t="shared" si="57"/>
        <v>0.85670460619373168</v>
      </c>
      <c r="Z52" s="306">
        <f>'2019 RAW DATA'!K21</f>
        <v>2128645</v>
      </c>
      <c r="AA52" s="165">
        <f>'2019 RAW DATA'!J21</f>
        <v>187592</v>
      </c>
      <c r="AB52" s="165">
        <f t="shared" si="92"/>
        <v>2316237</v>
      </c>
      <c r="AC52" s="239">
        <f t="shared" si="93"/>
        <v>0.91901001495097434</v>
      </c>
      <c r="AD52" s="239"/>
      <c r="AE52" s="239"/>
      <c r="AF52" s="167"/>
      <c r="AG52" s="116">
        <v>32640</v>
      </c>
      <c r="AH52" s="298">
        <v>0.02</v>
      </c>
      <c r="AI52" s="260">
        <f t="shared" si="94"/>
        <v>2171217.9</v>
      </c>
      <c r="AJ52" s="256">
        <f t="shared" si="58"/>
        <v>33292.800000000003</v>
      </c>
      <c r="AK52" s="257">
        <f t="shared" si="59"/>
        <v>2137925.1</v>
      </c>
      <c r="AL52" s="257">
        <f t="shared" si="60"/>
        <v>224636.64000000013</v>
      </c>
      <c r="AM52" s="257">
        <f t="shared" si="61"/>
        <v>2362561.7400000002</v>
      </c>
      <c r="AN52" s="261">
        <f t="shared" si="62"/>
        <v>0.90491819274107088</v>
      </c>
      <c r="AO52" s="173">
        <f>'2020 RAW DATA'!K21</f>
        <v>6312044</v>
      </c>
      <c r="AP52" s="172">
        <f>'2020 RAW DATA'!J21</f>
        <v>0</v>
      </c>
      <c r="AQ52" s="165">
        <f t="shared" si="87"/>
        <v>6312044</v>
      </c>
      <c r="AR52" s="311">
        <f t="shared" si="48"/>
        <v>1</v>
      </c>
      <c r="AS52" s="260">
        <f t="shared" si="95"/>
        <v>2180683.602</v>
      </c>
      <c r="AT52" s="256">
        <f t="shared" si="96"/>
        <v>33958.656000000003</v>
      </c>
      <c r="AU52" s="257">
        <f t="shared" si="97"/>
        <v>2178437.2355999998</v>
      </c>
      <c r="AV52" s="257">
        <f t="shared" si="98"/>
        <v>231375.73920000013</v>
      </c>
      <c r="AW52" s="257">
        <f t="shared" si="99"/>
        <v>2409812.9748</v>
      </c>
      <c r="AX52" s="261">
        <f t="shared" si="63"/>
        <v>0.90398601816010105</v>
      </c>
      <c r="AY52" s="173">
        <f>'2021 RAW Data'!K21</f>
        <v>7253546</v>
      </c>
      <c r="AZ52" s="172">
        <f>'2021 RAW Data'!J21</f>
        <v>0</v>
      </c>
      <c r="BA52" s="165">
        <f t="shared" si="64"/>
        <v>7253546</v>
      </c>
      <c r="BB52" s="311">
        <f t="shared" si="49"/>
        <v>1</v>
      </c>
      <c r="BC52" s="260">
        <f t="shared" si="100"/>
        <v>2222005.980312</v>
      </c>
      <c r="BD52" s="256">
        <f t="shared" si="101"/>
        <v>34637.829119999995</v>
      </c>
      <c r="BE52" s="257">
        <f t="shared" si="102"/>
        <v>2219692.2229199996</v>
      </c>
      <c r="BF52" s="257">
        <f t="shared" si="103"/>
        <v>238317.01137600013</v>
      </c>
      <c r="BG52" s="257">
        <f t="shared" si="104"/>
        <v>2458009.2342959996</v>
      </c>
      <c r="BH52" s="261">
        <f t="shared" si="65"/>
        <v>0.90304470461265107</v>
      </c>
      <c r="BI52" s="260">
        <f t="shared" si="66"/>
        <v>2264086.0673783994</v>
      </c>
      <c r="BJ52" s="256">
        <f t="shared" si="67"/>
        <v>35330.5857024</v>
      </c>
      <c r="BK52" s="257">
        <f t="shared" si="105"/>
        <v>2261702.8972646398</v>
      </c>
      <c r="BL52" s="257">
        <f t="shared" si="68"/>
        <v>245466.52171728015</v>
      </c>
      <c r="BM52" s="257">
        <f t="shared" si="88"/>
        <v>2507169.41898192</v>
      </c>
      <c r="BN52" s="261">
        <f t="shared" si="69"/>
        <v>0.90209416250101038</v>
      </c>
      <c r="BO52" s="260">
        <f t="shared" si="70"/>
        <v>2306936.9552099328</v>
      </c>
      <c r="BP52" s="256">
        <f t="shared" si="71"/>
        <v>36037.197416447998</v>
      </c>
      <c r="BQ52" s="257">
        <f t="shared" si="106"/>
        <v>2304482.2899927599</v>
      </c>
      <c r="BR52" s="257">
        <f t="shared" si="72"/>
        <v>252830.51736879855</v>
      </c>
      <c r="BS52" s="257">
        <f t="shared" si="73"/>
        <v>2557312.8073615585</v>
      </c>
      <c r="BT52" s="261">
        <f t="shared" si="74"/>
        <v>0.90113430134905947</v>
      </c>
      <c r="BU52" s="260">
        <f t="shared" si="75"/>
        <v>2350571.9357926152</v>
      </c>
      <c r="BV52" s="256">
        <f t="shared" si="76"/>
        <v>36757.941364776962</v>
      </c>
      <c r="BW52" s="257">
        <f t="shared" si="77"/>
        <v>2348043.6306189271</v>
      </c>
      <c r="BX52" s="257">
        <f t="shared" si="78"/>
        <v>260415.43288986251</v>
      </c>
      <c r="BY52" s="257">
        <f t="shared" si="79"/>
        <v>2608459.0635087895</v>
      </c>
      <c r="BZ52" s="261">
        <f t="shared" si="80"/>
        <v>0.90016502979365809</v>
      </c>
      <c r="CA52" s="260">
        <f t="shared" si="81"/>
        <v>2395004.5032313056</v>
      </c>
      <c r="CB52" s="256">
        <f t="shared" si="82"/>
        <v>37493.100192072496</v>
      </c>
      <c r="CC52" s="257">
        <f t="shared" si="83"/>
        <v>2392400.3489024066</v>
      </c>
      <c r="CD52" s="257">
        <f t="shared" si="84"/>
        <v>268227.89587655838</v>
      </c>
      <c r="CE52" s="257">
        <f t="shared" si="85"/>
        <v>2660628.2447789651</v>
      </c>
      <c r="CF52" s="261">
        <f t="shared" si="86"/>
        <v>0.89918625557594878</v>
      </c>
    </row>
    <row r="53" spans="1:84" x14ac:dyDescent="0.35">
      <c r="A53" s="59" t="s">
        <v>88</v>
      </c>
      <c r="B53" s="290"/>
      <c r="C53" s="291"/>
      <c r="D53" s="292"/>
      <c r="E53" s="167"/>
      <c r="F53" s="173"/>
      <c r="G53" s="293"/>
      <c r="H53" s="172"/>
      <c r="I53" s="167"/>
      <c r="J53" s="173"/>
      <c r="K53" s="293"/>
      <c r="L53" s="172"/>
      <c r="M53" s="167"/>
      <c r="N53" s="173"/>
      <c r="O53" s="293"/>
      <c r="P53" s="172"/>
      <c r="Q53" s="167"/>
      <c r="R53" s="173"/>
      <c r="S53" s="293"/>
      <c r="T53" s="172"/>
      <c r="U53" s="167"/>
      <c r="V53" s="172"/>
      <c r="W53" s="293"/>
      <c r="X53" s="172"/>
      <c r="Y53" s="167"/>
      <c r="Z53" s="173"/>
      <c r="AA53" s="293"/>
      <c r="AB53" s="172"/>
      <c r="AC53" s="239"/>
      <c r="AD53" s="239"/>
      <c r="AE53" s="239"/>
      <c r="AF53" s="167"/>
      <c r="AG53" s="303"/>
      <c r="AH53" s="298"/>
      <c r="AI53" s="260"/>
      <c r="AJ53" s="256"/>
      <c r="AK53" s="257"/>
      <c r="AL53" s="257"/>
      <c r="AM53" s="257"/>
      <c r="AN53" s="261"/>
      <c r="AO53" s="173"/>
      <c r="AP53" s="172"/>
      <c r="AQ53" s="165"/>
      <c r="AR53" s="311"/>
      <c r="AS53" s="260"/>
      <c r="AT53" s="256"/>
      <c r="AU53" s="257"/>
      <c r="AV53" s="257"/>
      <c r="AW53" s="257"/>
      <c r="AX53" s="261"/>
      <c r="AY53" s="173"/>
      <c r="AZ53" s="172"/>
      <c r="BA53" s="165"/>
      <c r="BB53" s="311"/>
      <c r="BC53" s="260"/>
      <c r="BD53" s="256"/>
      <c r="BE53" s="257"/>
      <c r="BF53" s="257"/>
      <c r="BG53" s="257"/>
      <c r="BH53" s="261"/>
      <c r="BI53" s="260"/>
      <c r="BJ53" s="256"/>
      <c r="BK53" s="257"/>
      <c r="BL53" s="257"/>
      <c r="BM53" s="257"/>
      <c r="BN53" s="261"/>
      <c r="BO53" s="260"/>
      <c r="BP53" s="256"/>
      <c r="BQ53" s="257"/>
      <c r="BR53" s="257"/>
      <c r="BS53" s="257"/>
      <c r="BT53" s="261"/>
      <c r="BU53" s="260"/>
      <c r="BV53" s="256"/>
      <c r="BW53" s="257"/>
      <c r="BX53" s="257"/>
      <c r="BY53" s="257"/>
      <c r="BZ53" s="261"/>
      <c r="CA53" s="260"/>
      <c r="CB53" s="256"/>
      <c r="CC53" s="257"/>
      <c r="CD53" s="257"/>
      <c r="CE53" s="257"/>
      <c r="CF53" s="261"/>
    </row>
    <row r="54" spans="1:84" x14ac:dyDescent="0.35">
      <c r="A54" s="56" t="s">
        <v>89</v>
      </c>
      <c r="B54" s="290">
        <f>'2014 RAW DATA'!K23</f>
        <v>25873437.497274</v>
      </c>
      <c r="C54" s="291">
        <f>'2014 RAW DATA'!J23</f>
        <v>6499322.1365280021</v>
      </c>
      <c r="D54" s="292">
        <f t="shared" si="50"/>
        <v>32372759.633802004</v>
      </c>
      <c r="E54" s="167">
        <f t="shared" si="91"/>
        <v>0.79923484404642042</v>
      </c>
      <c r="F54" s="173">
        <f>'2015 RAW DATA'!K23</f>
        <v>28098510.272453997</v>
      </c>
      <c r="G54" s="293">
        <f>'2015 RAW DATA'!J23</f>
        <v>6166646.1665400006</v>
      </c>
      <c r="H54" s="172">
        <f t="shared" si="51"/>
        <v>34265156.438993998</v>
      </c>
      <c r="I54" s="167">
        <f>F54/H54</f>
        <v>0.82003157704768825</v>
      </c>
      <c r="J54" s="173">
        <f>'2016 RAW DATA'!K23</f>
        <v>27747673.649981987</v>
      </c>
      <c r="K54" s="293">
        <f>'2016 RAW DATA'!J23</f>
        <v>7735797.687251999</v>
      </c>
      <c r="L54" s="172">
        <f t="shared" si="52"/>
        <v>35483471.337233983</v>
      </c>
      <c r="M54" s="167">
        <f t="shared" si="53"/>
        <v>0.78198870077475857</v>
      </c>
      <c r="N54" s="173">
        <f>+'2017 RAW DATA'!K23</f>
        <v>29293941</v>
      </c>
      <c r="O54" s="293">
        <f>+'2017 RAW DATA'!J23</f>
        <v>7271875</v>
      </c>
      <c r="P54" s="172">
        <f t="shared" si="90"/>
        <v>36565816</v>
      </c>
      <c r="Q54" s="167">
        <f t="shared" si="89"/>
        <v>0.80112914750760655</v>
      </c>
      <c r="R54" s="165">
        <f>'2017 NEW RAW DATA '!K23</f>
        <v>31930326</v>
      </c>
      <c r="S54" s="165">
        <f>'2017 NEW RAW DATA '!J23</f>
        <v>6862698</v>
      </c>
      <c r="T54" s="165">
        <f t="shared" si="54"/>
        <v>38793024</v>
      </c>
      <c r="U54" s="167">
        <f t="shared" si="55"/>
        <v>0.82309453369760499</v>
      </c>
      <c r="V54" s="165">
        <f>'2018 RAW DATA'!K23</f>
        <v>31226793</v>
      </c>
      <c r="W54" s="165">
        <f>'2018 RAW DATA'!J23</f>
        <v>8948177</v>
      </c>
      <c r="X54" s="165">
        <f t="shared" si="56"/>
        <v>40174970</v>
      </c>
      <c r="Y54" s="167">
        <f t="shared" si="57"/>
        <v>0.77726985234836521</v>
      </c>
      <c r="Z54" s="306">
        <f>'2019 RAW DATA'!K23</f>
        <v>26887170</v>
      </c>
      <c r="AA54" s="165">
        <f>'2019 RAW DATA'!J23</f>
        <v>7693201</v>
      </c>
      <c r="AB54" s="165">
        <f>Z54+AA54</f>
        <v>34580371</v>
      </c>
      <c r="AC54" s="239">
        <f>Z54/AB54</f>
        <v>0.77752693862075684</v>
      </c>
      <c r="AD54" s="239"/>
      <c r="AE54" s="239"/>
      <c r="AF54" s="167"/>
      <c r="AG54" s="116">
        <v>1333295</v>
      </c>
      <c r="AH54" s="298">
        <v>0.03</v>
      </c>
      <c r="AI54" s="260">
        <f>Z54*(100%+AH54)</f>
        <v>27693785.100000001</v>
      </c>
      <c r="AJ54" s="256">
        <f t="shared" si="58"/>
        <v>1373293.85</v>
      </c>
      <c r="AK54" s="257">
        <f t="shared" si="59"/>
        <v>26320491.25</v>
      </c>
      <c r="AL54" s="257">
        <f t="shared" si="60"/>
        <v>9297290.8800000027</v>
      </c>
      <c r="AM54" s="257">
        <f t="shared" si="61"/>
        <v>35617782.130000003</v>
      </c>
      <c r="AN54" s="261">
        <f t="shared" si="62"/>
        <v>0.73897052752846404</v>
      </c>
      <c r="AO54" s="173">
        <f>'2020 RAW DATA'!K23</f>
        <v>49873402</v>
      </c>
      <c r="AP54" s="172">
        <f>'2020 RAW DATA'!J23</f>
        <v>2904319</v>
      </c>
      <c r="AQ54" s="165">
        <f t="shared" si="87"/>
        <v>52777721</v>
      </c>
      <c r="AR54" s="311">
        <f t="shared" si="48"/>
        <v>0.94497073869483683</v>
      </c>
      <c r="AS54" s="260">
        <f>AK54*(100%+AH54)</f>
        <v>27110105.987500001</v>
      </c>
      <c r="AT54" s="256">
        <f>+AG54*((100%+AH54)^2)</f>
        <v>1414492.6654999999</v>
      </c>
      <c r="AU54" s="257">
        <f>+AW54-AV54</f>
        <v>26970646.624299996</v>
      </c>
      <c r="AV54" s="257">
        <f>AL54*((100%+(AH54*1.5)))</f>
        <v>9715668.9696000014</v>
      </c>
      <c r="AW54" s="257">
        <f>AB54*(100%+AH54)^2</f>
        <v>36686315.593899995</v>
      </c>
      <c r="AX54" s="261">
        <f t="shared" si="63"/>
        <v>0.73516912744392715</v>
      </c>
      <c r="AY54" s="173">
        <f>'2021 RAW Data'!K23</f>
        <v>46282205</v>
      </c>
      <c r="AZ54" s="172">
        <f>'2021 RAW Data'!J23</f>
        <v>9120188</v>
      </c>
      <c r="BA54" s="165">
        <f t="shared" si="64"/>
        <v>55402393</v>
      </c>
      <c r="BB54" s="311">
        <f t="shared" si="49"/>
        <v>0.83538277850200438</v>
      </c>
      <c r="BC54" s="260">
        <f>AU54*(100%+AH54)</f>
        <v>27779766.023028996</v>
      </c>
      <c r="BD54" s="256">
        <f>+AG54*((100%+AH54)^3)</f>
        <v>1456927.4454650001</v>
      </c>
      <c r="BE54" s="257">
        <f>+BG54-BF54</f>
        <v>27634030.988485001</v>
      </c>
      <c r="BF54" s="257">
        <f>AV54*((100%+(AH54*1.5)))</f>
        <v>10152874.073232001</v>
      </c>
      <c r="BG54" s="257">
        <f>AB54*(100%+AH54)^3</f>
        <v>37786905.061717004</v>
      </c>
      <c r="BH54" s="261">
        <f t="shared" si="65"/>
        <v>0.73131236716398429</v>
      </c>
      <c r="BI54" s="260">
        <f t="shared" si="66"/>
        <v>28463051.918139551</v>
      </c>
      <c r="BJ54" s="256">
        <f t="shared" si="67"/>
        <v>1500635.2688289499</v>
      </c>
      <c r="BK54" s="257">
        <f>+BM54-BL54</f>
        <v>28310758.807041071</v>
      </c>
      <c r="BL54" s="257">
        <f t="shared" si="68"/>
        <v>10609753.406527439</v>
      </c>
      <c r="BM54" s="257">
        <f t="shared" si="88"/>
        <v>38920512.213568509</v>
      </c>
      <c r="BN54" s="261">
        <f t="shared" si="69"/>
        <v>0.72739944047219773</v>
      </c>
      <c r="BO54" s="260">
        <f t="shared" si="70"/>
        <v>29160081.571252305</v>
      </c>
      <c r="BP54" s="256">
        <f t="shared" si="71"/>
        <v>1545654.3268938183</v>
      </c>
      <c r="BQ54" s="257">
        <f>+BS54-BR54</f>
        <v>29000935.270154387</v>
      </c>
      <c r="BR54" s="257">
        <f t="shared" si="72"/>
        <v>11087192.309821174</v>
      </c>
      <c r="BS54" s="257">
        <f t="shared" si="73"/>
        <v>40088127.57997556</v>
      </c>
      <c r="BT54" s="261">
        <f t="shared" si="74"/>
        <v>0.72342952941111316</v>
      </c>
      <c r="BU54" s="260">
        <f t="shared" si="75"/>
        <v>29870963.328259017</v>
      </c>
      <c r="BV54" s="256">
        <f t="shared" si="76"/>
        <v>1592023.956700633</v>
      </c>
      <c r="BW54" s="257">
        <f t="shared" si="77"/>
        <v>29704655.443611704</v>
      </c>
      <c r="BX54" s="257">
        <f t="shared" si="78"/>
        <v>11586115.963763125</v>
      </c>
      <c r="BY54" s="257">
        <f t="shared" si="79"/>
        <v>41290771.407374829</v>
      </c>
      <c r="BZ54" s="261">
        <f t="shared" si="80"/>
        <v>0.71940180411127508</v>
      </c>
      <c r="CA54" s="260">
        <f t="shared" si="81"/>
        <v>30595795.106920056</v>
      </c>
      <c r="CB54" s="256">
        <f t="shared" si="82"/>
        <v>1639784.675401652</v>
      </c>
      <c r="CC54" s="257">
        <f t="shared" si="83"/>
        <v>30422003.367463611</v>
      </c>
      <c r="CD54" s="257">
        <f t="shared" si="84"/>
        <v>12107491.182132466</v>
      </c>
      <c r="CE54" s="257">
        <f t="shared" si="85"/>
        <v>42529494.549596079</v>
      </c>
      <c r="CF54" s="261">
        <f t="shared" si="86"/>
        <v>0.71531542261774994</v>
      </c>
    </row>
    <row r="55" spans="1:84" x14ac:dyDescent="0.35">
      <c r="A55" s="59" t="s">
        <v>90</v>
      </c>
      <c r="B55" s="290"/>
      <c r="C55" s="291"/>
      <c r="D55" s="292"/>
      <c r="E55" s="167"/>
      <c r="F55" s="173"/>
      <c r="G55" s="293"/>
      <c r="H55" s="172"/>
      <c r="I55" s="167"/>
      <c r="J55" s="173"/>
      <c r="K55" s="293"/>
      <c r="L55" s="172"/>
      <c r="M55" s="167"/>
      <c r="N55" s="173"/>
      <c r="O55" s="293"/>
      <c r="P55" s="172"/>
      <c r="Q55" s="167"/>
      <c r="R55" s="173"/>
      <c r="S55" s="293"/>
      <c r="T55" s="172"/>
      <c r="U55" s="167"/>
      <c r="V55" s="172"/>
      <c r="W55" s="293"/>
      <c r="X55" s="172"/>
      <c r="Y55" s="167"/>
      <c r="Z55" s="173"/>
      <c r="AA55" s="293"/>
      <c r="AB55" s="172"/>
      <c r="AC55" s="239"/>
      <c r="AD55" s="239"/>
      <c r="AE55" s="239"/>
      <c r="AF55" s="167"/>
      <c r="AG55" s="303"/>
      <c r="AH55" s="298"/>
      <c r="AI55" s="260"/>
      <c r="AJ55" s="256"/>
      <c r="AK55" s="257"/>
      <c r="AL55" s="257"/>
      <c r="AM55" s="257"/>
      <c r="AN55" s="261"/>
      <c r="AO55" s="173"/>
      <c r="AP55" s="172"/>
      <c r="AQ55" s="165"/>
      <c r="AR55" s="311"/>
      <c r="AS55" s="260"/>
      <c r="AT55" s="256"/>
      <c r="AU55" s="257"/>
      <c r="AV55" s="257"/>
      <c r="AW55" s="257"/>
      <c r="AX55" s="261"/>
      <c r="AY55" s="173"/>
      <c r="AZ55" s="172"/>
      <c r="BA55" s="165"/>
      <c r="BB55" s="311"/>
      <c r="BC55" s="260"/>
      <c r="BD55" s="256"/>
      <c r="BE55" s="257"/>
      <c r="BF55" s="257"/>
      <c r="BG55" s="257"/>
      <c r="BH55" s="261"/>
      <c r="BI55" s="260"/>
      <c r="BJ55" s="256"/>
      <c r="BK55" s="257"/>
      <c r="BL55" s="257"/>
      <c r="BM55" s="257"/>
      <c r="BN55" s="261"/>
      <c r="BO55" s="260"/>
      <c r="BP55" s="256"/>
      <c r="BQ55" s="257"/>
      <c r="BR55" s="257"/>
      <c r="BS55" s="257"/>
      <c r="BT55" s="261"/>
      <c r="BU55" s="260"/>
      <c r="BV55" s="256"/>
      <c r="BW55" s="257"/>
      <c r="BX55" s="257"/>
      <c r="BY55" s="257"/>
      <c r="BZ55" s="261"/>
      <c r="CA55" s="260"/>
      <c r="CB55" s="256"/>
      <c r="CC55" s="257"/>
      <c r="CD55" s="257"/>
      <c r="CE55" s="257"/>
      <c r="CF55" s="261"/>
    </row>
    <row r="56" spans="1:84" x14ac:dyDescent="0.35">
      <c r="A56" s="56" t="s">
        <v>91</v>
      </c>
      <c r="B56" s="290">
        <f>'2014 RAW DATA'!K25</f>
        <v>2309224.859586</v>
      </c>
      <c r="C56" s="291">
        <f>'2014 RAW DATA'!J25</f>
        <v>0</v>
      </c>
      <c r="D56" s="292">
        <f t="shared" si="50"/>
        <v>2309224.859586</v>
      </c>
      <c r="E56" s="167">
        <f t="shared" si="91"/>
        <v>1</v>
      </c>
      <c r="F56" s="173">
        <f>'2015 RAW DATA'!K25</f>
        <v>2461614.3343319991</v>
      </c>
      <c r="G56" s="293">
        <f>'2015 RAW DATA'!J25</f>
        <v>0</v>
      </c>
      <c r="H56" s="172">
        <f t="shared" si="51"/>
        <v>2461614.3343319991</v>
      </c>
      <c r="I56" s="167">
        <f>F56/H56</f>
        <v>1</v>
      </c>
      <c r="J56" s="173">
        <f>'2016 RAW DATA'!K25</f>
        <v>2553170.4028800004</v>
      </c>
      <c r="K56" s="293">
        <f>'2016 RAW DATA'!J25</f>
        <v>0</v>
      </c>
      <c r="L56" s="172">
        <f t="shared" si="52"/>
        <v>2553170.4028800004</v>
      </c>
      <c r="M56" s="167">
        <f t="shared" si="53"/>
        <v>1</v>
      </c>
      <c r="N56" s="173">
        <f>+'2017 RAW DATA'!K25</f>
        <v>803907</v>
      </c>
      <c r="O56" s="293">
        <f>+'2017 RAW DATA'!J25</f>
        <v>0</v>
      </c>
      <c r="P56" s="172">
        <f t="shared" si="90"/>
        <v>803907</v>
      </c>
      <c r="Q56" s="167">
        <f t="shared" si="89"/>
        <v>1</v>
      </c>
      <c r="R56" s="165">
        <f>'2017 NEW RAW DATA '!K25</f>
        <v>788549</v>
      </c>
      <c r="S56" s="165">
        <f>'2017 NEW RAW DATA '!J25</f>
        <v>0</v>
      </c>
      <c r="T56" s="165">
        <f t="shared" si="54"/>
        <v>788549</v>
      </c>
      <c r="U56" s="167">
        <f t="shared" si="55"/>
        <v>1</v>
      </c>
      <c r="V56" s="165">
        <f>'2018 RAW DATA'!K25</f>
        <v>890607</v>
      </c>
      <c r="W56" s="165">
        <f>'2018 RAW DATA'!J25</f>
        <v>0</v>
      </c>
      <c r="X56" s="165">
        <f t="shared" si="56"/>
        <v>890607</v>
      </c>
      <c r="Y56" s="167">
        <f t="shared" si="57"/>
        <v>1</v>
      </c>
      <c r="Z56" s="306">
        <f>'2019 RAW DATA'!K25</f>
        <v>730894</v>
      </c>
      <c r="AA56" s="165">
        <f>'2019 RAW DATA'!J25</f>
        <v>0</v>
      </c>
      <c r="AB56" s="165">
        <f>Z56+AA56</f>
        <v>730894</v>
      </c>
      <c r="AC56" s="239">
        <f>Z56/AB56</f>
        <v>1</v>
      </c>
      <c r="AD56" s="239"/>
      <c r="AE56" s="239"/>
      <c r="AF56" s="167"/>
      <c r="AG56" s="116">
        <v>0</v>
      </c>
      <c r="AH56" s="298">
        <v>0.01</v>
      </c>
      <c r="AI56" s="260">
        <f>Z56*(100%+AH56)</f>
        <v>738202.94000000006</v>
      </c>
      <c r="AJ56" s="256">
        <f t="shared" si="58"/>
        <v>0</v>
      </c>
      <c r="AK56" s="257">
        <f t="shared" si="59"/>
        <v>738202.94000000006</v>
      </c>
      <c r="AL56" s="257">
        <f t="shared" si="60"/>
        <v>0</v>
      </c>
      <c r="AM56" s="257">
        <f t="shared" si="61"/>
        <v>738202.94000000006</v>
      </c>
      <c r="AN56" s="261">
        <f t="shared" si="62"/>
        <v>1</v>
      </c>
      <c r="AO56" s="173">
        <f>'2020 RAW DATA'!K25</f>
        <v>1817115</v>
      </c>
      <c r="AP56" s="172">
        <f>'2020 RAW DATA'!J25</f>
        <v>0</v>
      </c>
      <c r="AQ56" s="165">
        <f t="shared" si="87"/>
        <v>1817115</v>
      </c>
      <c r="AR56" s="311">
        <f t="shared" si="48"/>
        <v>1</v>
      </c>
      <c r="AS56" s="260">
        <f>AK56*(100%+AH56)</f>
        <v>745584.96940000006</v>
      </c>
      <c r="AT56" s="256">
        <f>+AG56*((100%+AH56)^2)</f>
        <v>0</v>
      </c>
      <c r="AU56" s="257">
        <f>+AW56-AV56</f>
        <v>745584.96940000006</v>
      </c>
      <c r="AV56" s="257">
        <f>AL56*((100%+(AH56*1.5)))</f>
        <v>0</v>
      </c>
      <c r="AW56" s="257">
        <f>AB56*(100%+AH56)^2</f>
        <v>745584.96940000006</v>
      </c>
      <c r="AX56" s="261">
        <f t="shared" si="63"/>
        <v>1</v>
      </c>
      <c r="AY56" s="173">
        <f>'2021 RAW Data'!K25</f>
        <v>1936841</v>
      </c>
      <c r="AZ56" s="172">
        <f>'2021 RAW Data'!J25</f>
        <v>0</v>
      </c>
      <c r="BA56" s="165">
        <f t="shared" si="64"/>
        <v>1936841</v>
      </c>
      <c r="BB56" s="311">
        <f t="shared" si="49"/>
        <v>1</v>
      </c>
      <c r="BC56" s="260">
        <f>AU56*(100%+AH56)</f>
        <v>753040.81909400003</v>
      </c>
      <c r="BD56" s="256">
        <f>+AG56*((100%+AH56)^3)</f>
        <v>0</v>
      </c>
      <c r="BE56" s="257">
        <f>+BG56-BF56</f>
        <v>753040.81909399992</v>
      </c>
      <c r="BF56" s="257">
        <f>AV56*((100%+(AH56*1.5)))</f>
        <v>0</v>
      </c>
      <c r="BG56" s="257">
        <f>AB56*(100%+AH56)^3</f>
        <v>753040.81909399992</v>
      </c>
      <c r="BH56" s="261">
        <f t="shared" si="65"/>
        <v>1</v>
      </c>
      <c r="BI56" s="260">
        <f>BE56*(100%+AH56)</f>
        <v>760571.22728493996</v>
      </c>
      <c r="BJ56" s="256">
        <f t="shared" si="67"/>
        <v>0</v>
      </c>
      <c r="BK56" s="257">
        <f>+BM56-BL56</f>
        <v>760571.22728493996</v>
      </c>
      <c r="BL56" s="257">
        <f t="shared" si="68"/>
        <v>0</v>
      </c>
      <c r="BM56" s="257">
        <f t="shared" si="88"/>
        <v>760571.22728493996</v>
      </c>
      <c r="BN56" s="261">
        <f t="shared" si="69"/>
        <v>1</v>
      </c>
      <c r="BO56" s="260">
        <f t="shared" si="70"/>
        <v>768176.93955778936</v>
      </c>
      <c r="BP56" s="256">
        <f t="shared" si="71"/>
        <v>0</v>
      </c>
      <c r="BQ56" s="257">
        <f>+BS56-BR56</f>
        <v>768176.93955778936</v>
      </c>
      <c r="BR56" s="257">
        <f t="shared" si="72"/>
        <v>0</v>
      </c>
      <c r="BS56" s="257">
        <f t="shared" si="73"/>
        <v>768176.93955778936</v>
      </c>
      <c r="BT56" s="261">
        <f t="shared" si="74"/>
        <v>1</v>
      </c>
      <c r="BU56" s="260">
        <f t="shared" si="75"/>
        <v>775858.70895336731</v>
      </c>
      <c r="BV56" s="256">
        <f t="shared" si="76"/>
        <v>0</v>
      </c>
      <c r="BW56" s="257">
        <f t="shared" si="77"/>
        <v>775858.70895336743</v>
      </c>
      <c r="BX56" s="257">
        <f t="shared" si="78"/>
        <v>0</v>
      </c>
      <c r="BY56" s="257">
        <f t="shared" si="79"/>
        <v>775858.70895336743</v>
      </c>
      <c r="BZ56" s="261">
        <f t="shared" si="80"/>
        <v>1</v>
      </c>
      <c r="CA56" s="260">
        <f t="shared" si="81"/>
        <v>783617.29604290111</v>
      </c>
      <c r="CB56" s="256">
        <f t="shared" si="82"/>
        <v>0</v>
      </c>
      <c r="CC56" s="257">
        <f t="shared" si="83"/>
        <v>783617.29604290088</v>
      </c>
      <c r="CD56" s="257">
        <f t="shared" si="84"/>
        <v>0</v>
      </c>
      <c r="CE56" s="257">
        <f t="shared" si="85"/>
        <v>783617.29604290088</v>
      </c>
      <c r="CF56" s="261">
        <f t="shared" si="86"/>
        <v>1</v>
      </c>
    </row>
    <row r="57" spans="1:84" x14ac:dyDescent="0.35">
      <c r="A57" s="56" t="s">
        <v>92</v>
      </c>
      <c r="B57" s="290">
        <f>'2014 RAW DATA'!K26</f>
        <v>1643691.7377599997</v>
      </c>
      <c r="C57" s="291">
        <f>'2014 RAW DATA'!J26</f>
        <v>0</v>
      </c>
      <c r="D57" s="292">
        <f t="shared" si="50"/>
        <v>1643691.7377599997</v>
      </c>
      <c r="E57" s="167">
        <f t="shared" si="91"/>
        <v>1</v>
      </c>
      <c r="F57" s="173">
        <f>'2015 RAW DATA'!K26</f>
        <v>1642205.1910319999</v>
      </c>
      <c r="G57" s="293">
        <f>'2015 RAW DATA'!J26</f>
        <v>38445.025950000003</v>
      </c>
      <c r="H57" s="172">
        <f t="shared" si="51"/>
        <v>1680650.2169819998</v>
      </c>
      <c r="I57" s="167">
        <f>F57/H57</f>
        <v>0.97712490941807217</v>
      </c>
      <c r="J57" s="173">
        <f>'2016 RAW DATA'!K26</f>
        <v>1742743.664016</v>
      </c>
      <c r="K57" s="293">
        <f>'2016 RAW DATA'!J26</f>
        <v>0</v>
      </c>
      <c r="L57" s="172">
        <f t="shared" si="52"/>
        <v>1742743.664016</v>
      </c>
      <c r="M57" s="167">
        <f t="shared" si="53"/>
        <v>1</v>
      </c>
      <c r="N57" s="173">
        <f>+'2017 RAW DATA'!K26</f>
        <v>1753085</v>
      </c>
      <c r="O57" s="293">
        <f>+'2017 RAW DATA'!J26</f>
        <v>0</v>
      </c>
      <c r="P57" s="172">
        <f t="shared" si="90"/>
        <v>1753085</v>
      </c>
      <c r="Q57" s="167">
        <f t="shared" si="89"/>
        <v>1</v>
      </c>
      <c r="R57" s="165">
        <f>'2017 NEW RAW DATA '!K26</f>
        <v>1712780</v>
      </c>
      <c r="S57" s="165">
        <f>'2017 NEW RAW DATA '!J26</f>
        <v>0</v>
      </c>
      <c r="T57" s="165">
        <f t="shared" si="54"/>
        <v>1712780</v>
      </c>
      <c r="U57" s="167">
        <f t="shared" si="55"/>
        <v>1</v>
      </c>
      <c r="V57" s="165">
        <f>'2018 RAW DATA'!K26</f>
        <v>1845166</v>
      </c>
      <c r="W57" s="165">
        <f>'2018 RAW DATA'!J26</f>
        <v>0</v>
      </c>
      <c r="X57" s="165">
        <f t="shared" si="56"/>
        <v>1845166</v>
      </c>
      <c r="Y57" s="167">
        <f t="shared" si="57"/>
        <v>1</v>
      </c>
      <c r="Z57" s="306">
        <f>'2019 RAW DATA'!K26</f>
        <v>1732996</v>
      </c>
      <c r="AA57" s="165">
        <f>'2019 RAW DATA'!J26</f>
        <v>0</v>
      </c>
      <c r="AB57" s="165">
        <f>Z57+AA57</f>
        <v>1732996</v>
      </c>
      <c r="AC57" s="239">
        <f>Z57/AB57</f>
        <v>1</v>
      </c>
      <c r="AD57" s="239"/>
      <c r="AE57" s="239"/>
      <c r="AF57" s="167"/>
      <c r="AG57" s="116">
        <v>0</v>
      </c>
      <c r="AH57" s="298">
        <v>0.02</v>
      </c>
      <c r="AI57" s="260">
        <f>Z57*(100%+AH57)</f>
        <v>1767655.92</v>
      </c>
      <c r="AJ57" s="256">
        <f t="shared" si="58"/>
        <v>0</v>
      </c>
      <c r="AK57" s="257">
        <f t="shared" si="59"/>
        <v>1767655.92</v>
      </c>
      <c r="AL57" s="257">
        <f t="shared" si="60"/>
        <v>0</v>
      </c>
      <c r="AM57" s="257">
        <f t="shared" si="61"/>
        <v>1767655.92</v>
      </c>
      <c r="AN57" s="261">
        <f t="shared" si="62"/>
        <v>1</v>
      </c>
      <c r="AO57" s="173">
        <f>'2020 RAW DATA'!K26</f>
        <v>4690240</v>
      </c>
      <c r="AP57" s="172">
        <f>'2020 RAW DATA'!J26</f>
        <v>0</v>
      </c>
      <c r="AQ57" s="165">
        <f t="shared" si="87"/>
        <v>4690240</v>
      </c>
      <c r="AR57" s="311">
        <f t="shared" si="48"/>
        <v>1</v>
      </c>
      <c r="AS57" s="260">
        <f>AK57*(100%+AH57)</f>
        <v>1803009.0384</v>
      </c>
      <c r="AT57" s="256">
        <f>+AG57*((100%+AH57)^2)</f>
        <v>0</v>
      </c>
      <c r="AU57" s="257">
        <f>+AW57-AV57</f>
        <v>1803009.0384</v>
      </c>
      <c r="AV57" s="257">
        <f>AL57*((100%+(AH57*1.5)))</f>
        <v>0</v>
      </c>
      <c r="AW57" s="257">
        <f>AB57*(100%+AH57)^2</f>
        <v>1803009.0384</v>
      </c>
      <c r="AX57" s="261">
        <f t="shared" si="63"/>
        <v>1</v>
      </c>
      <c r="AY57" s="173">
        <f>'2021 RAW Data'!K26</f>
        <v>4658838</v>
      </c>
      <c r="AZ57" s="172">
        <f>'2021 RAW Data'!J26</f>
        <v>0</v>
      </c>
      <c r="BA57" s="165">
        <f t="shared" si="64"/>
        <v>4658838</v>
      </c>
      <c r="BB57" s="311">
        <f t="shared" si="49"/>
        <v>1</v>
      </c>
      <c r="BC57" s="260">
        <f>AU57*(100%+AH57)</f>
        <v>1839069.2191679999</v>
      </c>
      <c r="BD57" s="256">
        <f>+AG57*((100%+AH57)^3)</f>
        <v>0</v>
      </c>
      <c r="BE57" s="257">
        <f>+BG57-BF57</f>
        <v>1839069.2191679999</v>
      </c>
      <c r="BF57" s="257">
        <f>AV57*((100%+(AH57*1.5)))</f>
        <v>0</v>
      </c>
      <c r="BG57" s="257">
        <f>AB57*(100%+AH57)^3</f>
        <v>1839069.2191679999</v>
      </c>
      <c r="BH57" s="261">
        <f t="shared" si="65"/>
        <v>1</v>
      </c>
      <c r="BI57" s="260">
        <f t="shared" si="66"/>
        <v>1875850.6035513598</v>
      </c>
      <c r="BJ57" s="256">
        <f t="shared" si="67"/>
        <v>0</v>
      </c>
      <c r="BK57" s="257">
        <f>+BM57-BL57</f>
        <v>1875850.6035513598</v>
      </c>
      <c r="BL57" s="257">
        <f t="shared" si="68"/>
        <v>0</v>
      </c>
      <c r="BM57" s="257">
        <f t="shared" si="88"/>
        <v>1875850.6035513598</v>
      </c>
      <c r="BN57" s="261">
        <f t="shared" si="69"/>
        <v>1</v>
      </c>
      <c r="BO57" s="260">
        <f t="shared" si="70"/>
        <v>1913367.615622387</v>
      </c>
      <c r="BP57" s="256">
        <f t="shared" si="71"/>
        <v>0</v>
      </c>
      <c r="BQ57" s="257">
        <f>+BS57-BR57</f>
        <v>1913367.6156223873</v>
      </c>
      <c r="BR57" s="257">
        <f t="shared" si="72"/>
        <v>0</v>
      </c>
      <c r="BS57" s="257">
        <f t="shared" si="73"/>
        <v>1913367.6156223873</v>
      </c>
      <c r="BT57" s="261">
        <f t="shared" si="74"/>
        <v>1</v>
      </c>
      <c r="BU57" s="260">
        <f t="shared" si="75"/>
        <v>1951634.967934835</v>
      </c>
      <c r="BV57" s="256">
        <f t="shared" si="76"/>
        <v>0</v>
      </c>
      <c r="BW57" s="257">
        <f t="shared" si="77"/>
        <v>1951634.967934835</v>
      </c>
      <c r="BX57" s="257">
        <f t="shared" si="78"/>
        <v>0</v>
      </c>
      <c r="BY57" s="257">
        <f t="shared" si="79"/>
        <v>1951634.967934835</v>
      </c>
      <c r="BZ57" s="261">
        <f t="shared" si="80"/>
        <v>1</v>
      </c>
      <c r="CA57" s="260">
        <f t="shared" si="81"/>
        <v>1990667.6672935318</v>
      </c>
      <c r="CB57" s="256">
        <f t="shared" si="82"/>
        <v>0</v>
      </c>
      <c r="CC57" s="257">
        <f t="shared" si="83"/>
        <v>1990667.6672935314</v>
      </c>
      <c r="CD57" s="257">
        <f t="shared" si="84"/>
        <v>0</v>
      </c>
      <c r="CE57" s="257">
        <f t="shared" si="85"/>
        <v>1990667.6672935314</v>
      </c>
      <c r="CF57" s="261">
        <f t="shared" si="86"/>
        <v>1</v>
      </c>
    </row>
    <row r="58" spans="1:84" x14ac:dyDescent="0.35">
      <c r="A58" s="59" t="s">
        <v>93</v>
      </c>
      <c r="B58" s="290"/>
      <c r="C58" s="291"/>
      <c r="D58" s="292"/>
      <c r="E58" s="167"/>
      <c r="F58" s="173"/>
      <c r="G58" s="293"/>
      <c r="H58" s="172"/>
      <c r="I58" s="167"/>
      <c r="J58" s="173"/>
      <c r="K58" s="293"/>
      <c r="L58" s="172"/>
      <c r="M58" s="167"/>
      <c r="N58" s="173"/>
      <c r="O58" s="293"/>
      <c r="P58" s="293"/>
      <c r="Q58" s="167"/>
      <c r="R58" s="173"/>
      <c r="S58" s="293"/>
      <c r="T58" s="172"/>
      <c r="U58" s="167"/>
      <c r="V58" s="172"/>
      <c r="W58" s="293"/>
      <c r="X58" s="172"/>
      <c r="Y58" s="167"/>
      <c r="Z58" s="173"/>
      <c r="AA58" s="293"/>
      <c r="AB58" s="172"/>
      <c r="AC58" s="239"/>
      <c r="AD58" s="239"/>
      <c r="AE58" s="239"/>
      <c r="AF58" s="167"/>
      <c r="AG58" s="303"/>
      <c r="AH58" s="298"/>
      <c r="AI58" s="260"/>
      <c r="AJ58" s="256"/>
      <c r="AK58" s="257"/>
      <c r="AL58" s="257"/>
      <c r="AM58" s="257"/>
      <c r="AN58" s="261"/>
      <c r="AO58" s="173"/>
      <c r="AP58" s="172"/>
      <c r="AQ58" s="165"/>
      <c r="AR58" s="311"/>
      <c r="AS58" s="260"/>
      <c r="AT58" s="256"/>
      <c r="AU58" s="257"/>
      <c r="AV58" s="257"/>
      <c r="AW58" s="257"/>
      <c r="AX58" s="261"/>
      <c r="AY58" s="173"/>
      <c r="AZ58" s="172"/>
      <c r="BA58" s="165"/>
      <c r="BB58" s="311"/>
      <c r="BC58" s="260"/>
      <c r="BD58" s="256"/>
      <c r="BE58" s="257"/>
      <c r="BF58" s="257"/>
      <c r="BG58" s="257"/>
      <c r="BH58" s="261"/>
      <c r="BI58" s="260"/>
      <c r="BJ58" s="256"/>
      <c r="BK58" s="257"/>
      <c r="BL58" s="257"/>
      <c r="BM58" s="257"/>
      <c r="BN58" s="261"/>
      <c r="BO58" s="260"/>
      <c r="BP58" s="256"/>
      <c r="BQ58" s="257"/>
      <c r="BR58" s="257"/>
      <c r="BS58" s="257"/>
      <c r="BT58" s="261"/>
      <c r="BU58" s="260"/>
      <c r="BV58" s="256"/>
      <c r="BW58" s="257"/>
      <c r="BX58" s="257"/>
      <c r="BY58" s="257"/>
      <c r="BZ58" s="261"/>
      <c r="CA58" s="260"/>
      <c r="CB58" s="256"/>
      <c r="CC58" s="257"/>
      <c r="CD58" s="257"/>
      <c r="CE58" s="257"/>
      <c r="CF58" s="261"/>
    </row>
    <row r="59" spans="1:84" x14ac:dyDescent="0.35">
      <c r="A59" s="56" t="s">
        <v>94</v>
      </c>
      <c r="B59" s="290">
        <f>'2014 RAW DATA'!K28</f>
        <v>4457571.7972799996</v>
      </c>
      <c r="C59" s="291">
        <f>'2014 RAW DATA'!J28</f>
        <v>0</v>
      </c>
      <c r="D59" s="292">
        <f t="shared" si="50"/>
        <v>4457571.7972799996</v>
      </c>
      <c r="E59" s="167">
        <f t="shared" si="91"/>
        <v>1</v>
      </c>
      <c r="F59" s="173">
        <f>'2015 RAW DATA'!K28</f>
        <v>4752565.5592320003</v>
      </c>
      <c r="G59" s="293">
        <f>'2015 RAW DATA'!J28</f>
        <v>0</v>
      </c>
      <c r="H59" s="172">
        <f t="shared" si="51"/>
        <v>4752565.5592320003</v>
      </c>
      <c r="I59" s="167">
        <f t="shared" ref="I59:I64" si="108">F59/H59</f>
        <v>1</v>
      </c>
      <c r="J59" s="173">
        <f>'2016 RAW DATA'!K28</f>
        <v>4928859.6277800025</v>
      </c>
      <c r="K59" s="293">
        <f>'2016 RAW DATA'!J28</f>
        <v>0</v>
      </c>
      <c r="L59" s="172">
        <f t="shared" si="52"/>
        <v>4928859.6277800025</v>
      </c>
      <c r="M59" s="167">
        <f t="shared" si="53"/>
        <v>1</v>
      </c>
      <c r="N59" s="173">
        <f>+'2017 RAW DATA'!K28</f>
        <v>5230135</v>
      </c>
      <c r="O59" s="293">
        <f>+'2017 RAW DATA'!J28</f>
        <v>0</v>
      </c>
      <c r="P59" s="172">
        <f t="shared" si="90"/>
        <v>5230135</v>
      </c>
      <c r="Q59" s="167">
        <f t="shared" si="89"/>
        <v>1</v>
      </c>
      <c r="R59" s="165">
        <f>'2017 NEW RAW DATA '!K28</f>
        <v>5110079</v>
      </c>
      <c r="S59" s="165">
        <f>'2017 NEW RAW DATA '!J28</f>
        <v>0</v>
      </c>
      <c r="T59" s="165">
        <f t="shared" si="54"/>
        <v>5110079</v>
      </c>
      <c r="U59" s="167">
        <f t="shared" si="55"/>
        <v>1</v>
      </c>
      <c r="V59" s="165">
        <f>'2018 RAW DATA'!K28</f>
        <v>5454615</v>
      </c>
      <c r="W59" s="165">
        <f>'2018 RAW DATA'!J28</f>
        <v>0</v>
      </c>
      <c r="X59" s="165">
        <f t="shared" si="56"/>
        <v>5454615</v>
      </c>
      <c r="Y59" s="167">
        <f t="shared" si="57"/>
        <v>1</v>
      </c>
      <c r="Z59" s="306">
        <f>'2019 RAW DATA'!K28</f>
        <v>4463958</v>
      </c>
      <c r="AA59" s="165">
        <f>'2019 RAW DATA'!J28</f>
        <v>592659</v>
      </c>
      <c r="AB59" s="165">
        <f t="shared" ref="AB59:AB64" si="109">Z59+AA59</f>
        <v>5056617</v>
      </c>
      <c r="AC59" s="239">
        <f t="shared" ref="AC59:AC64" si="110">Z59/AB59</f>
        <v>0.88279535507632867</v>
      </c>
      <c r="AD59" s="239"/>
      <c r="AE59" s="239"/>
      <c r="AF59" s="167"/>
      <c r="AG59" s="116">
        <v>33406</v>
      </c>
      <c r="AH59" s="298">
        <v>0.01</v>
      </c>
      <c r="AI59" s="260">
        <f t="shared" ref="AI59:AI64" si="111">Z59*(100%+AH59)</f>
        <v>4508597.58</v>
      </c>
      <c r="AJ59" s="256">
        <f t="shared" si="58"/>
        <v>33740.06</v>
      </c>
      <c r="AK59" s="257">
        <f t="shared" si="59"/>
        <v>4474857.5200000005</v>
      </c>
      <c r="AL59" s="257">
        <f t="shared" si="60"/>
        <v>632325.64999999944</v>
      </c>
      <c r="AM59" s="257">
        <f t="shared" si="61"/>
        <v>5107183.17</v>
      </c>
      <c r="AN59" s="261">
        <f t="shared" si="62"/>
        <v>0.87618896190872286</v>
      </c>
      <c r="AO59" s="173">
        <f>'2020 RAW DATA'!K28</f>
        <v>13300493</v>
      </c>
      <c r="AP59" s="172">
        <f>'2020 RAW DATA'!J28</f>
        <v>204691</v>
      </c>
      <c r="AQ59" s="165">
        <f t="shared" si="87"/>
        <v>13505184</v>
      </c>
      <c r="AR59" s="311">
        <f t="shared" si="48"/>
        <v>0.98484352379056816</v>
      </c>
      <c r="AS59" s="260">
        <f t="shared" ref="AS59:AS64" si="112">AK59*(100%+AH59)</f>
        <v>4519606.0952000003</v>
      </c>
      <c r="AT59" s="256">
        <f t="shared" ref="AT59:AT64" si="113">+AG59*((100%+AH59)^2)</f>
        <v>34077.460599999999</v>
      </c>
      <c r="AU59" s="257">
        <f t="shared" ref="AU59:AU64" si="114">+AW59-AV59</f>
        <v>4516444.4669500003</v>
      </c>
      <c r="AV59" s="257">
        <f t="shared" ref="AV59:AV64" si="115">AL59*((100%+(AH59*1.5)))</f>
        <v>641810.53474999941</v>
      </c>
      <c r="AW59" s="257">
        <f t="shared" ref="AW59:AW64" si="116">AB59*(100%+AH59)^2</f>
        <v>5158255.0016999999</v>
      </c>
      <c r="AX59" s="261">
        <f t="shared" si="63"/>
        <v>0.87557603597757794</v>
      </c>
      <c r="AY59" s="173">
        <f>'2021 RAW Data'!K28</f>
        <v>11368158</v>
      </c>
      <c r="AZ59" s="172">
        <f>'2021 RAW Data'!J28</f>
        <v>2316054</v>
      </c>
      <c r="BA59" s="165">
        <f t="shared" si="64"/>
        <v>13684212</v>
      </c>
      <c r="BB59" s="311">
        <f t="shared" si="49"/>
        <v>0.83074991822693189</v>
      </c>
      <c r="BC59" s="260">
        <f t="shared" ref="BC59:BC64" si="117">AU59*(100%+AH59)</f>
        <v>4561608.9116195003</v>
      </c>
      <c r="BD59" s="256">
        <f t="shared" ref="BD59:BD64" si="118">+AG59*((100%+AH59)^3)</f>
        <v>34418.235205999998</v>
      </c>
      <c r="BE59" s="257">
        <f t="shared" ref="BE59:BE64" si="119">+BG59-BF59</f>
        <v>4558399.8589457497</v>
      </c>
      <c r="BF59" s="257">
        <f t="shared" ref="BF59:BF64" si="120">AV59*((100%+(AH59*1.5)))</f>
        <v>651437.69277124933</v>
      </c>
      <c r="BG59" s="257">
        <f t="shared" ref="BG59:BG64" si="121">AB59*(100%+AH59)^3</f>
        <v>5209837.5517169992</v>
      </c>
      <c r="BH59" s="261">
        <f t="shared" si="65"/>
        <v>0.87496007575964518</v>
      </c>
      <c r="BI59" s="260">
        <f t="shared" si="66"/>
        <v>4603983.8575352076</v>
      </c>
      <c r="BJ59" s="256">
        <f t="shared" si="67"/>
        <v>34762.417558059999</v>
      </c>
      <c r="BK59" s="257">
        <f t="shared" ref="BK59:BK64" si="122">+BM59-BL59</f>
        <v>4600726.6690713521</v>
      </c>
      <c r="BL59" s="257">
        <f t="shared" si="68"/>
        <v>661209.25816281803</v>
      </c>
      <c r="BM59" s="257">
        <f t="shared" si="88"/>
        <v>5261935.92723417</v>
      </c>
      <c r="BN59" s="261">
        <f t="shared" si="69"/>
        <v>0.87434106623370289</v>
      </c>
      <c r="BO59" s="260">
        <f t="shared" si="70"/>
        <v>4646733.9357620655</v>
      </c>
      <c r="BP59" s="256">
        <f t="shared" si="71"/>
        <v>35110.041733640595</v>
      </c>
      <c r="BQ59" s="257">
        <f t="shared" ref="BQ59:BQ64" si="123">+BS59-BR59</f>
        <v>4643427.8894712515</v>
      </c>
      <c r="BR59" s="257">
        <f t="shared" si="72"/>
        <v>671127.39703526022</v>
      </c>
      <c r="BS59" s="257">
        <f t="shared" si="73"/>
        <v>5314555.2865065113</v>
      </c>
      <c r="BT59" s="261">
        <f t="shared" si="74"/>
        <v>0.87371899230416683</v>
      </c>
      <c r="BU59" s="260">
        <f t="shared" si="75"/>
        <v>4689862.1683659637</v>
      </c>
      <c r="BV59" s="256">
        <f t="shared" si="76"/>
        <v>35461.142150977008</v>
      </c>
      <c r="BW59" s="257">
        <f t="shared" si="77"/>
        <v>4686506.5313807884</v>
      </c>
      <c r="BX59" s="257">
        <f t="shared" si="78"/>
        <v>681194.30799078906</v>
      </c>
      <c r="BY59" s="257">
        <f t="shared" si="79"/>
        <v>5367700.8393715778</v>
      </c>
      <c r="BZ59" s="261">
        <f t="shared" si="80"/>
        <v>0.873093838800722</v>
      </c>
      <c r="CA59" s="260">
        <f t="shared" si="81"/>
        <v>4733371.5966945961</v>
      </c>
      <c r="CB59" s="256">
        <f t="shared" si="82"/>
        <v>35815.75357248677</v>
      </c>
      <c r="CC59" s="257">
        <f t="shared" si="83"/>
        <v>4729965.6251546415</v>
      </c>
      <c r="CD59" s="257">
        <f t="shared" si="84"/>
        <v>691412.22261065082</v>
      </c>
      <c r="CE59" s="257">
        <f t="shared" si="85"/>
        <v>5421377.847765292</v>
      </c>
      <c r="CF59" s="261">
        <f t="shared" si="86"/>
        <v>0.87246559047795336</v>
      </c>
    </row>
    <row r="60" spans="1:84" x14ac:dyDescent="0.35">
      <c r="A60" s="56" t="s">
        <v>95</v>
      </c>
      <c r="B60" s="290">
        <f>'2014 RAW DATA'!K29</f>
        <v>472771.89981599979</v>
      </c>
      <c r="C60" s="291">
        <f>'2014 RAW DATA'!J29</f>
        <v>0</v>
      </c>
      <c r="D60" s="292">
        <f t="shared" si="50"/>
        <v>472771.89981599979</v>
      </c>
      <c r="E60" s="167">
        <f t="shared" si="91"/>
        <v>1</v>
      </c>
      <c r="F60" s="173">
        <f>'2015 RAW DATA'!K29</f>
        <v>503917.47090599994</v>
      </c>
      <c r="G60" s="293">
        <f>'2015 RAW DATA'!J29</f>
        <v>0</v>
      </c>
      <c r="H60" s="172">
        <f t="shared" si="51"/>
        <v>503917.47090599994</v>
      </c>
      <c r="I60" s="167">
        <f t="shared" si="108"/>
        <v>1</v>
      </c>
      <c r="J60" s="173">
        <f>'2016 RAW DATA'!K29</f>
        <v>522511.95236999996</v>
      </c>
      <c r="K60" s="293">
        <f>'2016 RAW DATA'!J29</f>
        <v>0</v>
      </c>
      <c r="L60" s="172">
        <f t="shared" si="52"/>
        <v>522511.95236999996</v>
      </c>
      <c r="M60" s="167">
        <f t="shared" si="53"/>
        <v>1</v>
      </c>
      <c r="N60" s="173">
        <f>+'2017 RAW DATA'!K29</f>
        <v>712643</v>
      </c>
      <c r="O60" s="293">
        <f>+'2017 RAW DATA'!J29</f>
        <v>0</v>
      </c>
      <c r="P60" s="172">
        <f t="shared" si="90"/>
        <v>712643</v>
      </c>
      <c r="Q60" s="167">
        <f t="shared" si="89"/>
        <v>1</v>
      </c>
      <c r="R60" s="165">
        <f>'2017 NEW RAW DATA '!K29</f>
        <v>660411</v>
      </c>
      <c r="S60" s="165">
        <f>'2017 NEW RAW DATA '!J29</f>
        <v>0</v>
      </c>
      <c r="T60" s="165">
        <f t="shared" si="54"/>
        <v>660411</v>
      </c>
      <c r="U60" s="167">
        <f t="shared" si="55"/>
        <v>1</v>
      </c>
      <c r="V60" s="165">
        <f>'2018 RAW DATA'!K29</f>
        <v>709266</v>
      </c>
      <c r="W60" s="165">
        <f>'2018 RAW DATA'!J29</f>
        <v>0</v>
      </c>
      <c r="X60" s="165">
        <f t="shared" si="56"/>
        <v>709266</v>
      </c>
      <c r="Y60" s="167">
        <f t="shared" si="57"/>
        <v>1</v>
      </c>
      <c r="Z60" s="306">
        <f>'2019 RAW DATA'!K29</f>
        <v>533681</v>
      </c>
      <c r="AA60" s="165">
        <f>'2019 RAW DATA'!J29</f>
        <v>0</v>
      </c>
      <c r="AB60" s="165">
        <f t="shared" si="109"/>
        <v>533681</v>
      </c>
      <c r="AC60" s="239">
        <f t="shared" si="110"/>
        <v>1</v>
      </c>
      <c r="AD60" s="239"/>
      <c r="AE60" s="239"/>
      <c r="AF60" s="167"/>
      <c r="AG60" s="116">
        <v>0</v>
      </c>
      <c r="AH60" s="298">
        <v>0.01</v>
      </c>
      <c r="AI60" s="260">
        <f t="shared" si="111"/>
        <v>539017.81000000006</v>
      </c>
      <c r="AJ60" s="256">
        <f t="shared" si="58"/>
        <v>0</v>
      </c>
      <c r="AK60" s="257">
        <f t="shared" si="59"/>
        <v>539017.81000000006</v>
      </c>
      <c r="AL60" s="257">
        <f t="shared" si="60"/>
        <v>0</v>
      </c>
      <c r="AM60" s="257">
        <f t="shared" si="61"/>
        <v>539017.81000000006</v>
      </c>
      <c r="AN60" s="261">
        <f t="shared" si="62"/>
        <v>1</v>
      </c>
      <c r="AO60" s="173">
        <f>'2020 RAW DATA'!K29</f>
        <v>944897</v>
      </c>
      <c r="AP60" s="172">
        <f>'2020 RAW DATA'!J29</f>
        <v>0</v>
      </c>
      <c r="AQ60" s="165">
        <f t="shared" si="87"/>
        <v>944897</v>
      </c>
      <c r="AR60" s="311">
        <f t="shared" si="48"/>
        <v>1</v>
      </c>
      <c r="AS60" s="260">
        <f t="shared" si="112"/>
        <v>544407.98810000008</v>
      </c>
      <c r="AT60" s="256">
        <f t="shared" si="113"/>
        <v>0</v>
      </c>
      <c r="AU60" s="257">
        <f t="shared" si="114"/>
        <v>544407.98809999996</v>
      </c>
      <c r="AV60" s="257">
        <f t="shared" si="115"/>
        <v>0</v>
      </c>
      <c r="AW60" s="257">
        <f t="shared" si="116"/>
        <v>544407.98809999996</v>
      </c>
      <c r="AX60" s="261">
        <f t="shared" si="63"/>
        <v>1</v>
      </c>
      <c r="AY60" s="173">
        <f>'2021 RAW Data'!K29</f>
        <v>956600</v>
      </c>
      <c r="AZ60" s="172">
        <f>'2021 RAW Data'!J29</f>
        <v>0</v>
      </c>
      <c r="BA60" s="165">
        <f t="shared" si="64"/>
        <v>956600</v>
      </c>
      <c r="BB60" s="311">
        <f t="shared" si="49"/>
        <v>1</v>
      </c>
      <c r="BC60" s="260">
        <f t="shared" si="117"/>
        <v>549852.06798099994</v>
      </c>
      <c r="BD60" s="256">
        <f t="shared" si="118"/>
        <v>0</v>
      </c>
      <c r="BE60" s="257">
        <f t="shared" si="119"/>
        <v>549852.06798099994</v>
      </c>
      <c r="BF60" s="257">
        <f t="shared" si="120"/>
        <v>0</v>
      </c>
      <c r="BG60" s="257">
        <f t="shared" si="121"/>
        <v>549852.06798099994</v>
      </c>
      <c r="BH60" s="261">
        <f t="shared" si="65"/>
        <v>1</v>
      </c>
      <c r="BI60" s="260">
        <f t="shared" si="66"/>
        <v>555350.58866080991</v>
      </c>
      <c r="BJ60" s="256">
        <f t="shared" si="67"/>
        <v>0</v>
      </c>
      <c r="BK60" s="257">
        <f t="shared" si="122"/>
        <v>555350.58866081003</v>
      </c>
      <c r="BL60" s="257">
        <f t="shared" si="68"/>
        <v>0</v>
      </c>
      <c r="BM60" s="257">
        <f t="shared" si="88"/>
        <v>555350.58866081003</v>
      </c>
      <c r="BN60" s="261">
        <f t="shared" si="69"/>
        <v>1</v>
      </c>
      <c r="BO60" s="260">
        <f t="shared" si="70"/>
        <v>560904.09454741818</v>
      </c>
      <c r="BP60" s="256">
        <f t="shared" si="71"/>
        <v>0</v>
      </c>
      <c r="BQ60" s="257">
        <f t="shared" si="123"/>
        <v>560904.09454741806</v>
      </c>
      <c r="BR60" s="257">
        <f t="shared" si="72"/>
        <v>0</v>
      </c>
      <c r="BS60" s="257">
        <f t="shared" si="73"/>
        <v>560904.09454741806</v>
      </c>
      <c r="BT60" s="261">
        <f t="shared" si="74"/>
        <v>1</v>
      </c>
      <c r="BU60" s="260">
        <f t="shared" si="75"/>
        <v>566513.13549289224</v>
      </c>
      <c r="BV60" s="256">
        <f t="shared" si="76"/>
        <v>0</v>
      </c>
      <c r="BW60" s="257">
        <f t="shared" si="77"/>
        <v>566513.13549289235</v>
      </c>
      <c r="BX60" s="257">
        <f t="shared" si="78"/>
        <v>0</v>
      </c>
      <c r="BY60" s="257">
        <f t="shared" si="79"/>
        <v>566513.13549289235</v>
      </c>
      <c r="BZ60" s="261">
        <f t="shared" si="80"/>
        <v>1</v>
      </c>
      <c r="CA60" s="260">
        <f t="shared" si="81"/>
        <v>572178.2668478213</v>
      </c>
      <c r="CB60" s="256">
        <f t="shared" si="82"/>
        <v>0</v>
      </c>
      <c r="CC60" s="257">
        <f t="shared" si="83"/>
        <v>572178.26684782107</v>
      </c>
      <c r="CD60" s="257">
        <f t="shared" si="84"/>
        <v>0</v>
      </c>
      <c r="CE60" s="257">
        <f t="shared" si="85"/>
        <v>572178.26684782107</v>
      </c>
      <c r="CF60" s="261">
        <f t="shared" si="86"/>
        <v>1</v>
      </c>
    </row>
    <row r="61" spans="1:84" s="93" customFormat="1" x14ac:dyDescent="0.35">
      <c r="A61" s="93" t="s">
        <v>96</v>
      </c>
      <c r="B61" s="511"/>
      <c r="C61" s="533"/>
      <c r="D61" s="542"/>
      <c r="E61" s="543"/>
      <c r="F61" s="544"/>
      <c r="G61" s="545"/>
      <c r="H61" s="546"/>
      <c r="I61" s="543"/>
      <c r="J61" s="544"/>
      <c r="K61" s="545"/>
      <c r="L61" s="546"/>
      <c r="M61" s="543"/>
      <c r="N61" s="544"/>
      <c r="O61" s="545"/>
      <c r="P61" s="546"/>
      <c r="Q61" s="543"/>
      <c r="R61" s="538">
        <f>'2017 NEW RAW DATA '!K30</f>
        <v>8987123</v>
      </c>
      <c r="S61" s="538">
        <f>'2017 NEW RAW DATA '!J30</f>
        <v>603808</v>
      </c>
      <c r="T61" s="538">
        <f>R61+S61</f>
        <v>9590931</v>
      </c>
      <c r="U61" s="532">
        <f>R61/T61</f>
        <v>0.93704385945431157</v>
      </c>
      <c r="V61" s="538">
        <f>'2018 RAW DATA'!K30</f>
        <v>10002174</v>
      </c>
      <c r="W61" s="538">
        <f>'2018 RAW DATA'!J30</f>
        <v>511215</v>
      </c>
      <c r="X61" s="538">
        <f>V61+W61</f>
        <v>10513389</v>
      </c>
      <c r="Y61" s="532">
        <f>V61/X61</f>
        <v>0.95137486114135028</v>
      </c>
      <c r="Z61" s="547">
        <f>'2019 RAW DATA'!K30</f>
        <v>8731710</v>
      </c>
      <c r="AA61" s="538">
        <f>'2019 RAW DATA'!J30</f>
        <v>572479</v>
      </c>
      <c r="AB61" s="538">
        <f t="shared" si="109"/>
        <v>9304189</v>
      </c>
      <c r="AC61" s="531">
        <f t="shared" si="110"/>
        <v>0.93847083286893673</v>
      </c>
      <c r="AD61" s="531"/>
      <c r="AE61" s="531"/>
      <c r="AF61" s="532"/>
      <c r="AG61" s="530">
        <f>AG40+AG45+AG46</f>
        <v>16528</v>
      </c>
      <c r="AH61" s="512">
        <v>0.02</v>
      </c>
      <c r="AI61" s="540">
        <f t="shared" si="111"/>
        <v>8906344.1999999993</v>
      </c>
      <c r="AJ61" s="530">
        <f t="shared" si="58"/>
        <v>16858.560000000001</v>
      </c>
      <c r="AK61" s="529">
        <f t="shared" si="59"/>
        <v>8889485.6399999987</v>
      </c>
      <c r="AL61" s="529">
        <f t="shared" si="60"/>
        <v>600787.1400000006</v>
      </c>
      <c r="AM61" s="529">
        <f t="shared" si="61"/>
        <v>9490272.7799999993</v>
      </c>
      <c r="AN61" s="532">
        <f t="shared" si="62"/>
        <v>0.93669442871377606</v>
      </c>
      <c r="AO61" s="540">
        <f>'2020 RAW DATA'!K30</f>
        <v>28055952</v>
      </c>
      <c r="AP61" s="529">
        <f>'2020 RAW DATA'!J30</f>
        <v>904892</v>
      </c>
      <c r="AQ61" s="538">
        <f t="shared" si="87"/>
        <v>28960844</v>
      </c>
      <c r="AR61" s="548">
        <f t="shared" si="48"/>
        <v>0.96875463988549504</v>
      </c>
      <c r="AS61" s="540">
        <f t="shared" si="112"/>
        <v>9067275.3527999986</v>
      </c>
      <c r="AT61" s="530">
        <f t="shared" si="113"/>
        <v>17195.731199999998</v>
      </c>
      <c r="AU61" s="529">
        <f t="shared" ref="AU61" si="124">+AW61-AV61</f>
        <v>9061267.4813999999</v>
      </c>
      <c r="AV61" s="529">
        <f t="shared" si="115"/>
        <v>618810.75420000067</v>
      </c>
      <c r="AW61" s="529">
        <f t="shared" ref="AW61" si="125">AB61*(100%+AH61)^2</f>
        <v>9680078.2356000002</v>
      </c>
      <c r="AX61" s="532">
        <f t="shared" ref="AX61" si="126">AU61/AW61</f>
        <v>0.93607378585802881</v>
      </c>
      <c r="AY61" s="540">
        <f>'2021 RAW Data'!K30</f>
        <v>13562042</v>
      </c>
      <c r="AZ61" s="529">
        <f>'2021 RAW Data'!J30</f>
        <v>1021481</v>
      </c>
      <c r="BA61" s="538">
        <f t="shared" si="64"/>
        <v>14583523</v>
      </c>
      <c r="BB61" s="548">
        <f t="shared" si="49"/>
        <v>0.92995649953718318</v>
      </c>
      <c r="BC61" s="540">
        <f t="shared" si="117"/>
        <v>9242492.8310279995</v>
      </c>
      <c r="BD61" s="530">
        <f t="shared" si="118"/>
        <v>17539.645823999999</v>
      </c>
      <c r="BE61" s="529">
        <f t="shared" ref="BE61" si="127">+BG61-BF61</f>
        <v>9236304.7234859988</v>
      </c>
      <c r="BF61" s="529">
        <f t="shared" si="120"/>
        <v>637375.0768260007</v>
      </c>
      <c r="BG61" s="529">
        <f t="shared" ref="BG61" si="128">AB61*(100%+AH61)^3</f>
        <v>9873679.8003119994</v>
      </c>
      <c r="BH61" s="532">
        <f t="shared" ref="BH61" si="129">BE61/BG61</f>
        <v>0.93544705826840158</v>
      </c>
      <c r="BI61" s="540">
        <f t="shared" ref="BI61" si="130">BE61*(100%+AH61)</f>
        <v>9421030.8179557193</v>
      </c>
      <c r="BJ61" s="530">
        <f t="shared" ref="BJ61" si="131">+AG61*((100%+AH61)^4)</f>
        <v>17890.43874048</v>
      </c>
      <c r="BK61" s="529">
        <f t="shared" ref="BK61" si="132">+BM61-BL61</f>
        <v>9414657.0671874601</v>
      </c>
      <c r="BL61" s="529">
        <f t="shared" ref="BL61" si="133">BF61*((100%+(AH61*1.5)))</f>
        <v>656496.32913078077</v>
      </c>
      <c r="BM61" s="529">
        <f t="shared" ref="BM61" si="134">AB61*(100%+AH61)^4</f>
        <v>10071153.39631824</v>
      </c>
      <c r="BN61" s="532">
        <f t="shared" ref="BN61" si="135">BK61/BM61</f>
        <v>0.93481418629064095</v>
      </c>
      <c r="BO61" s="540">
        <f t="shared" ref="BO61" si="136">BK61*(100%+AH61)</f>
        <v>9602950.2085312102</v>
      </c>
      <c r="BP61" s="530">
        <f t="shared" ref="BP61" si="137">+AG61*((100%+AH61)^5)</f>
        <v>18248.2475152896</v>
      </c>
      <c r="BQ61" s="529">
        <f t="shared" ref="BQ61" si="138">+BS61-BR61</f>
        <v>9596385.2452399004</v>
      </c>
      <c r="BR61" s="529">
        <f t="shared" ref="BR61" si="139">BL61*((100%+(AH61*1.5)))</f>
        <v>676191.21900470415</v>
      </c>
      <c r="BS61" s="529">
        <f t="shared" ref="BS61" si="140">AB61*(100%+AH61)^5</f>
        <v>10272576.464244604</v>
      </c>
      <c r="BT61" s="532">
        <f t="shared" ref="BT61" si="141">BQ61/BS61</f>
        <v>0.9341751096856471</v>
      </c>
      <c r="BU61" s="540">
        <f t="shared" si="75"/>
        <v>9788312.9501446988</v>
      </c>
      <c r="BV61" s="530">
        <f t="shared" si="76"/>
        <v>18613.212465595392</v>
      </c>
      <c r="BW61" s="529">
        <f t="shared" si="77"/>
        <v>9781551.0379546508</v>
      </c>
      <c r="BX61" s="529">
        <f t="shared" si="78"/>
        <v>696476.95557484531</v>
      </c>
      <c r="BY61" s="529">
        <f t="shared" si="79"/>
        <v>10478027.993529497</v>
      </c>
      <c r="BZ61" s="532">
        <f t="shared" si="80"/>
        <v>0.93352976762374162</v>
      </c>
      <c r="CA61" s="540">
        <f t="shared" si="81"/>
        <v>9977182.0587137435</v>
      </c>
      <c r="CB61" s="530">
        <f t="shared" si="82"/>
        <v>18985.476714907298</v>
      </c>
      <c r="CC61" s="529">
        <f t="shared" si="83"/>
        <v>9970217.2891579941</v>
      </c>
      <c r="CD61" s="529">
        <f t="shared" si="84"/>
        <v>717371.26424209063</v>
      </c>
      <c r="CE61" s="529">
        <f t="shared" si="85"/>
        <v>10687588.553400084</v>
      </c>
      <c r="CF61" s="532">
        <f t="shared" si="86"/>
        <v>0.93287809867887639</v>
      </c>
    </row>
    <row r="62" spans="1:84" x14ac:dyDescent="0.35">
      <c r="A62" s="56" t="s">
        <v>98</v>
      </c>
      <c r="B62" s="290">
        <f>SUM(B36:B60)</f>
        <v>167812901.09150401</v>
      </c>
      <c r="C62" s="292">
        <f>SUM(C36:C60)</f>
        <v>55128506.736912012</v>
      </c>
      <c r="D62" s="292">
        <f>SUM(D36:D60)</f>
        <v>222941407.82841605</v>
      </c>
      <c r="E62" s="167">
        <f t="shared" si="91"/>
        <v>0.75272199420512775</v>
      </c>
      <c r="F62" s="173">
        <f>SUM(F36:F60)</f>
        <v>174218219.6493839</v>
      </c>
      <c r="G62" s="172">
        <f>SUM(G36:G60)</f>
        <v>62365049.115696043</v>
      </c>
      <c r="H62" s="172">
        <f>SUM(H36:H60)</f>
        <v>236583268.76507995</v>
      </c>
      <c r="I62" s="167">
        <f t="shared" si="108"/>
        <v>0.7363928166128153</v>
      </c>
      <c r="J62" s="173">
        <f>SUM(J36:J60)</f>
        <v>182479974.908346</v>
      </c>
      <c r="K62" s="172">
        <f>SUM(K36:K60)</f>
        <v>62720836.173366025</v>
      </c>
      <c r="L62" s="172">
        <f>SUM(L36:L60)</f>
        <v>245200811.08171204</v>
      </c>
      <c r="M62" s="167">
        <f t="shared" si="53"/>
        <v>0.74420624509082633</v>
      </c>
      <c r="N62" s="173">
        <f>SUM(N36:N60)</f>
        <v>220099999</v>
      </c>
      <c r="O62" s="172">
        <f>SUM(O36:O60)</f>
        <v>71666360</v>
      </c>
      <c r="P62" s="172">
        <f>SUM(P36:P60)</f>
        <v>291766359</v>
      </c>
      <c r="Q62" s="167">
        <f t="shared" si="89"/>
        <v>0.75437072236282043</v>
      </c>
      <c r="R62" s="165">
        <f>SUM(R36:R60)</f>
        <v>227426244</v>
      </c>
      <c r="S62" s="165">
        <f>SUM(S36:S60)</f>
        <v>66151777</v>
      </c>
      <c r="T62" s="165">
        <f>R62+S62</f>
        <v>293578021</v>
      </c>
      <c r="U62" s="167">
        <f t="shared" si="55"/>
        <v>0.77467053979493916</v>
      </c>
      <c r="V62" s="165">
        <f>SUM(V36:V60)</f>
        <v>249513056</v>
      </c>
      <c r="W62" s="165">
        <f>SUM(W36:W60)</f>
        <v>75230046</v>
      </c>
      <c r="X62" s="165">
        <f t="shared" si="56"/>
        <v>324743102</v>
      </c>
      <c r="Y62" s="167">
        <f t="shared" si="57"/>
        <v>0.76833981834662646</v>
      </c>
      <c r="Z62" s="306">
        <f>SUM(Z36:Z60)</f>
        <v>224671270</v>
      </c>
      <c r="AA62" s="165">
        <f>SUM(AA36:AA60)</f>
        <v>60204122</v>
      </c>
      <c r="AB62" s="165">
        <f t="shared" si="109"/>
        <v>284875392</v>
      </c>
      <c r="AC62" s="239">
        <f t="shared" si="110"/>
        <v>0.78866506658462099</v>
      </c>
      <c r="AD62" s="239"/>
      <c r="AE62" s="239"/>
      <c r="AF62" s="167"/>
      <c r="AG62" s="116">
        <f>SUM(AG36:AG60)</f>
        <v>13712016</v>
      </c>
      <c r="AH62" s="298">
        <v>0.02</v>
      </c>
      <c r="AI62" s="260">
        <f t="shared" si="111"/>
        <v>229164695.40000001</v>
      </c>
      <c r="AJ62" s="256">
        <f t="shared" si="58"/>
        <v>13986256.32</v>
      </c>
      <c r="AK62" s="257">
        <f t="shared" si="59"/>
        <v>215178439.08000001</v>
      </c>
      <c r="AL62" s="257">
        <f t="shared" si="60"/>
        <v>75394460.76000002</v>
      </c>
      <c r="AM62" s="257">
        <f t="shared" si="61"/>
        <v>290572899.84000003</v>
      </c>
      <c r="AN62" s="261">
        <f t="shared" si="62"/>
        <v>0.74053168481467146</v>
      </c>
      <c r="AO62" s="309">
        <f>SUM(AO36:AO60)</f>
        <v>402895441</v>
      </c>
      <c r="AP62" s="310">
        <f>SUM(AP36:AP60)</f>
        <v>47484514</v>
      </c>
      <c r="AQ62" s="310">
        <f>AO62+AP62</f>
        <v>450379955</v>
      </c>
      <c r="AR62" s="311">
        <f>AO62/AQ62</f>
        <v>0.89456787880357602</v>
      </c>
      <c r="AS62" s="260">
        <f t="shared" si="112"/>
        <v>219482007.86160001</v>
      </c>
      <c r="AT62" s="256">
        <f t="shared" si="113"/>
        <v>14265981.4464</v>
      </c>
      <c r="AU62" s="257">
        <f t="shared" si="114"/>
        <v>218728063.25399995</v>
      </c>
      <c r="AV62" s="257">
        <f t="shared" si="115"/>
        <v>77656294.582800016</v>
      </c>
      <c r="AW62" s="257">
        <f t="shared" si="116"/>
        <v>296384357.83679998</v>
      </c>
      <c r="AX62" s="261">
        <f t="shared" si="63"/>
        <v>0.73798787780305053</v>
      </c>
      <c r="AY62" s="309">
        <f>SUM(AY36:AY60)</f>
        <v>379078173</v>
      </c>
      <c r="AZ62" s="310">
        <f>SUM(AZ36:AZ60)</f>
        <v>73273092</v>
      </c>
      <c r="BA62" s="165">
        <f t="shared" si="64"/>
        <v>452351265</v>
      </c>
      <c r="BB62" s="311">
        <f t="shared" si="49"/>
        <v>0.83801727182082708</v>
      </c>
      <c r="BC62" s="260">
        <f t="shared" si="117"/>
        <v>223102624.51907995</v>
      </c>
      <c r="BD62" s="256">
        <f t="shared" si="118"/>
        <v>14551301.075328</v>
      </c>
      <c r="BE62" s="257">
        <f t="shared" si="119"/>
        <v>222326061.57325196</v>
      </c>
      <c r="BF62" s="257">
        <f t="shared" si="120"/>
        <v>79985983.420284018</v>
      </c>
      <c r="BG62" s="257">
        <f t="shared" si="121"/>
        <v>302312044.993536</v>
      </c>
      <c r="BH62" s="261">
        <f t="shared" si="65"/>
        <v>0.735419131507002</v>
      </c>
      <c r="BI62" s="260">
        <f t="shared" si="66"/>
        <v>226772582.804717</v>
      </c>
      <c r="BJ62" s="256">
        <f t="shared" si="67"/>
        <v>14842327.096834559</v>
      </c>
      <c r="BK62" s="257">
        <f t="shared" si="122"/>
        <v>225972722.97051415</v>
      </c>
      <c r="BL62" s="257">
        <f t="shared" si="68"/>
        <v>82385562.922892541</v>
      </c>
      <c r="BM62" s="257">
        <f t="shared" si="88"/>
        <v>308358285.89340669</v>
      </c>
      <c r="BN62" s="261">
        <f t="shared" si="69"/>
        <v>0.73282520142373742</v>
      </c>
      <c r="BO62" s="260">
        <f t="shared" si="70"/>
        <v>230492177.42992443</v>
      </c>
      <c r="BP62" s="256">
        <f t="shared" si="71"/>
        <v>15139173.638771251</v>
      </c>
      <c r="BQ62" s="257">
        <f t="shared" si="123"/>
        <v>229668321.80069554</v>
      </c>
      <c r="BR62" s="257">
        <f t="shared" si="72"/>
        <v>84857129.810579315</v>
      </c>
      <c r="BS62" s="257">
        <f t="shared" si="73"/>
        <v>314525451.61127484</v>
      </c>
      <c r="BT62" s="261">
        <f t="shared" si="74"/>
        <v>0.7302058406533819</v>
      </c>
      <c r="BU62" s="260">
        <f t="shared" si="75"/>
        <v>234261688.23670945</v>
      </c>
      <c r="BV62" s="256">
        <f t="shared" si="76"/>
        <v>15441957.111546677</v>
      </c>
      <c r="BW62" s="257">
        <f t="shared" si="77"/>
        <v>233413116.9386037</v>
      </c>
      <c r="BX62" s="257">
        <f t="shared" si="78"/>
        <v>87402843.704896703</v>
      </c>
      <c r="BY62" s="257">
        <f t="shared" si="79"/>
        <v>320815960.64350039</v>
      </c>
      <c r="BZ62" s="261">
        <f t="shared" si="80"/>
        <v>0.72756079987547395</v>
      </c>
      <c r="CA62" s="260">
        <f t="shared" si="81"/>
        <v>238081379.27737579</v>
      </c>
      <c r="CB62" s="256">
        <f t="shared" si="82"/>
        <v>15750796.253777606</v>
      </c>
      <c r="CC62" s="257">
        <f t="shared" si="83"/>
        <v>237207350.84032673</v>
      </c>
      <c r="CD62" s="257">
        <f t="shared" si="84"/>
        <v>90024929.016043603</v>
      </c>
      <c r="CE62" s="257">
        <f t="shared" si="85"/>
        <v>327232279.85637033</v>
      </c>
      <c r="CF62" s="261">
        <f t="shared" si="86"/>
        <v>0.72488982732523333</v>
      </c>
    </row>
    <row r="63" spans="1:84" x14ac:dyDescent="0.35">
      <c r="A63" s="56" t="s">
        <v>99</v>
      </c>
      <c r="B63" s="290">
        <f>'2014 RAW DATA'!K30</f>
        <v>45234665.354705952</v>
      </c>
      <c r="C63" s="291">
        <f>'2014 RAW DATA'!J30</f>
        <v>129311.39190599998</v>
      </c>
      <c r="D63" s="292">
        <f>B63+C63</f>
        <v>45363976.746611953</v>
      </c>
      <c r="E63" s="167">
        <f t="shared" si="91"/>
        <v>0.9971494696633787</v>
      </c>
      <c r="F63" s="173">
        <f>'2015 RAW DATA'!K30</f>
        <v>48055444.65011999</v>
      </c>
      <c r="G63" s="293">
        <f>'2015 RAW DATA'!J30</f>
        <v>219959.59770599994</v>
      </c>
      <c r="H63" s="172">
        <f>F63+G63</f>
        <v>48275404.247825988</v>
      </c>
      <c r="I63" s="167">
        <f t="shared" si="108"/>
        <v>0.99544365083766428</v>
      </c>
      <c r="J63" s="173">
        <f>'2016 RAW DATA'!K30</f>
        <v>49876962.430380069</v>
      </c>
      <c r="K63" s="293">
        <f>'2016 RAW DATA'!J30</f>
        <v>213244.58048399998</v>
      </c>
      <c r="L63" s="172">
        <f>+J63++K63</f>
        <v>50090207.010864072</v>
      </c>
      <c r="M63" s="167">
        <f t="shared" si="53"/>
        <v>0.99574278899590585</v>
      </c>
      <c r="N63" s="173">
        <f>+'2017 RAW DATA'!K30</f>
        <v>59779087</v>
      </c>
      <c r="O63" s="293">
        <f>+'2017 RAW DATA'!J30</f>
        <v>34272</v>
      </c>
      <c r="P63" s="172">
        <f>+N63++O63</f>
        <v>59813359</v>
      </c>
      <c r="Q63" s="167">
        <f>N63/P63</f>
        <v>0.99942701763330166</v>
      </c>
      <c r="R63" s="165">
        <f>'2017 NEW RAW DATA '!K31</f>
        <v>57820364</v>
      </c>
      <c r="S63" s="165">
        <f>'2017 NEW RAW DATA '!J31</f>
        <v>8881</v>
      </c>
      <c r="T63" s="165">
        <f t="shared" si="54"/>
        <v>57829245</v>
      </c>
      <c r="U63" s="167">
        <f t="shared" si="55"/>
        <v>0.99984642718403116</v>
      </c>
      <c r="V63" s="165">
        <f>'2018 RAW DATA'!K31</f>
        <v>61541881</v>
      </c>
      <c r="W63" s="165">
        <f>'2018 RAW DATA'!J31</f>
        <v>60459</v>
      </c>
      <c r="X63" s="165">
        <f t="shared" si="56"/>
        <v>61602340</v>
      </c>
      <c r="Y63" s="167">
        <f t="shared" si="57"/>
        <v>0.99901856000924638</v>
      </c>
      <c r="Z63" s="306">
        <f>'2019 RAW DATA'!K31</f>
        <v>58406665</v>
      </c>
      <c r="AA63" s="165">
        <f>'2019 RAW DATA'!J31</f>
        <v>116959</v>
      </c>
      <c r="AB63" s="165">
        <f t="shared" si="109"/>
        <v>58523624</v>
      </c>
      <c r="AC63" s="239">
        <f t="shared" si="110"/>
        <v>0.99800150790388509</v>
      </c>
      <c r="AD63" s="239"/>
      <c r="AE63" s="239"/>
      <c r="AF63" s="167"/>
      <c r="AG63" s="116">
        <v>958</v>
      </c>
      <c r="AH63" s="298">
        <v>0.02</v>
      </c>
      <c r="AI63" s="260">
        <f t="shared" si="111"/>
        <v>59574798.300000004</v>
      </c>
      <c r="AJ63" s="256">
        <f t="shared" si="58"/>
        <v>977.16</v>
      </c>
      <c r="AK63" s="257">
        <f t="shared" si="59"/>
        <v>59573821.140000008</v>
      </c>
      <c r="AL63" s="257">
        <f t="shared" si="60"/>
        <v>120275.33999999613</v>
      </c>
      <c r="AM63" s="257">
        <f t="shared" si="61"/>
        <v>59694096.480000004</v>
      </c>
      <c r="AN63" s="261">
        <f t="shared" si="62"/>
        <v>0.99798513844597192</v>
      </c>
      <c r="AO63" s="173">
        <f>'2020 RAW DATA'!K31</f>
        <v>66664558</v>
      </c>
      <c r="AP63" s="172">
        <f>'2020 RAW DATA'!J31</f>
        <v>43586</v>
      </c>
      <c r="AQ63" s="310">
        <f>AO63+AP63</f>
        <v>66708144</v>
      </c>
      <c r="AR63" s="311">
        <f>AO63/AQ63</f>
        <v>0.99934661650907275</v>
      </c>
      <c r="AS63" s="260">
        <f t="shared" si="112"/>
        <v>60765297.562800013</v>
      </c>
      <c r="AT63" s="256">
        <f t="shared" si="113"/>
        <v>996.70320000000004</v>
      </c>
      <c r="AU63" s="257">
        <f t="shared" si="114"/>
        <v>60764094.8094</v>
      </c>
      <c r="AV63" s="257">
        <f t="shared" si="115"/>
        <v>123883.60019999601</v>
      </c>
      <c r="AW63" s="257">
        <f t="shared" si="116"/>
        <v>60887978.409599997</v>
      </c>
      <c r="AX63" s="261">
        <f t="shared" si="63"/>
        <v>0.99796538490132458</v>
      </c>
      <c r="AY63" s="173">
        <f>'2021 RAW Data'!K31</f>
        <v>68833456</v>
      </c>
      <c r="AZ63" s="172">
        <f>'2021 RAW Data'!J31</f>
        <v>0</v>
      </c>
      <c r="BA63" s="165">
        <f t="shared" si="64"/>
        <v>68833456</v>
      </c>
      <c r="BB63" s="311">
        <f t="shared" si="49"/>
        <v>1</v>
      </c>
      <c r="BC63" s="260">
        <f t="shared" si="117"/>
        <v>61979376.705587998</v>
      </c>
      <c r="BD63" s="256">
        <f t="shared" si="118"/>
        <v>1016.637264</v>
      </c>
      <c r="BE63" s="257">
        <f t="shared" si="119"/>
        <v>61978137.869585998</v>
      </c>
      <c r="BF63" s="257">
        <f t="shared" si="120"/>
        <v>127600.1082059959</v>
      </c>
      <c r="BG63" s="257">
        <f t="shared" si="121"/>
        <v>62105737.977791995</v>
      </c>
      <c r="BH63" s="261">
        <f t="shared" si="65"/>
        <v>0.99794543769447475</v>
      </c>
      <c r="BI63" s="260">
        <f>BE63*(100%+AH63)</f>
        <v>63217700.626977719</v>
      </c>
      <c r="BJ63" s="256">
        <f t="shared" si="67"/>
        <v>1036.9700092799999</v>
      </c>
      <c r="BK63" s="257">
        <f t="shared" si="122"/>
        <v>63216424.625895664</v>
      </c>
      <c r="BL63" s="257">
        <f t="shared" si="68"/>
        <v>131428.11145217577</v>
      </c>
      <c r="BM63" s="257">
        <f t="shared" si="88"/>
        <v>63347852.737347841</v>
      </c>
      <c r="BN63" s="261">
        <f t="shared" si="69"/>
        <v>0.99792529492677351</v>
      </c>
      <c r="BO63" s="260">
        <f t="shared" si="70"/>
        <v>64480753.118413575</v>
      </c>
      <c r="BP63" s="256">
        <f t="shared" si="71"/>
        <v>1057.7094094655999</v>
      </c>
      <c r="BQ63" s="257">
        <f t="shared" si="123"/>
        <v>64479438.837299056</v>
      </c>
      <c r="BR63" s="257">
        <f t="shared" si="72"/>
        <v>135370.95479574104</v>
      </c>
      <c r="BS63" s="257">
        <f t="shared" si="73"/>
        <v>64614809.792094797</v>
      </c>
      <c r="BT63" s="261">
        <f t="shared" si="74"/>
        <v>0.99790495468095763</v>
      </c>
      <c r="BU63" s="260">
        <f t="shared" si="75"/>
        <v>65769027.614045039</v>
      </c>
      <c r="BV63" s="256">
        <f t="shared" si="76"/>
        <v>1078.8635976549122</v>
      </c>
      <c r="BW63" s="257">
        <f t="shared" si="77"/>
        <v>65767673.904497087</v>
      </c>
      <c r="BX63" s="257">
        <f t="shared" si="78"/>
        <v>139432.08343961329</v>
      </c>
      <c r="BY63" s="257">
        <f t="shared" si="79"/>
        <v>65907105.987936698</v>
      </c>
      <c r="BZ63" s="261">
        <f t="shared" si="80"/>
        <v>0.99788441502096703</v>
      </c>
      <c r="CA63" s="260">
        <f t="shared" si="81"/>
        <v>67083027.382587031</v>
      </c>
      <c r="CB63" s="256">
        <f t="shared" si="82"/>
        <v>1100.44086960801</v>
      </c>
      <c r="CC63" s="257">
        <f t="shared" si="83"/>
        <v>67081633.061752617</v>
      </c>
      <c r="CD63" s="257">
        <f t="shared" si="84"/>
        <v>143615.04594280169</v>
      </c>
      <c r="CE63" s="257">
        <f t="shared" si="85"/>
        <v>67225248.107695416</v>
      </c>
      <c r="CF63" s="261">
        <f t="shared" si="86"/>
        <v>0.9978636739917609</v>
      </c>
    </row>
    <row r="64" spans="1:84" ht="15" thickBot="1" x14ac:dyDescent="0.4">
      <c r="A64" s="57" t="s">
        <v>100</v>
      </c>
      <c r="B64" s="294">
        <f>SUM(B62:B63)</f>
        <v>213047566.44620997</v>
      </c>
      <c r="C64" s="295">
        <f>SUM(C62:C63)</f>
        <v>55257818.128818013</v>
      </c>
      <c r="D64" s="295">
        <f>SUM(D62:D63)</f>
        <v>268305384.575028</v>
      </c>
      <c r="E64" s="168">
        <f t="shared" si="91"/>
        <v>0.79404879176636156</v>
      </c>
      <c r="F64" s="174">
        <f>SUM(F62:F63)</f>
        <v>222273664.29950389</v>
      </c>
      <c r="G64" s="296">
        <f>SUM(G62:G63)</f>
        <v>62585008.71340204</v>
      </c>
      <c r="H64" s="296">
        <f>SUM(H62:H63)</f>
        <v>284858673.01290596</v>
      </c>
      <c r="I64" s="168">
        <f t="shared" si="108"/>
        <v>0.78029452973486768</v>
      </c>
      <c r="J64" s="174">
        <f>SUM(J62:J63)</f>
        <v>232356937.33872607</v>
      </c>
      <c r="K64" s="296">
        <f>SUM(K62:K63)</f>
        <v>62934080.753850028</v>
      </c>
      <c r="L64" s="296">
        <f>SUM(L62:L63)</f>
        <v>295291018.09257609</v>
      </c>
      <c r="M64" s="168">
        <f t="shared" si="53"/>
        <v>0.78687438188817627</v>
      </c>
      <c r="N64" s="174">
        <f>SUM(N62:N63)</f>
        <v>279879086</v>
      </c>
      <c r="O64" s="296">
        <f>SUM(O62:O63)</f>
        <v>71700632</v>
      </c>
      <c r="P64" s="296">
        <f>SUM(P62:P63)</f>
        <v>351579718</v>
      </c>
      <c r="Q64" s="168">
        <f>N64/P64</f>
        <v>0.79606152366275007</v>
      </c>
      <c r="R64" s="169">
        <f>SUM(R62:R63)</f>
        <v>285246608</v>
      </c>
      <c r="S64" s="169">
        <f>SUM(S62:S63)</f>
        <v>66160658</v>
      </c>
      <c r="T64" s="169">
        <f t="shared" si="54"/>
        <v>351407266</v>
      </c>
      <c r="U64" s="168">
        <f t="shared" si="55"/>
        <v>0.81172655092453327</v>
      </c>
      <c r="V64" s="169">
        <f>SUM(V62:V63)</f>
        <v>311054937</v>
      </c>
      <c r="W64" s="169">
        <f>SUM(W62:W63)</f>
        <v>75290505</v>
      </c>
      <c r="X64" s="169">
        <f t="shared" si="56"/>
        <v>386345442</v>
      </c>
      <c r="Y64" s="168">
        <f t="shared" si="57"/>
        <v>0.80512128055596421</v>
      </c>
      <c r="Z64" s="307">
        <f>SUM(Z62:Z63)</f>
        <v>283077935</v>
      </c>
      <c r="AA64" s="169">
        <f>SUM(AA62:AA63)</f>
        <v>60321081</v>
      </c>
      <c r="AB64" s="169">
        <f t="shared" si="109"/>
        <v>343399016</v>
      </c>
      <c r="AC64" s="302">
        <f t="shared" si="110"/>
        <v>0.82434113614350024</v>
      </c>
      <c r="AD64" s="302"/>
      <c r="AE64" s="302"/>
      <c r="AF64" s="168"/>
      <c r="AG64" s="117">
        <f>SUM(AG62:AG63)</f>
        <v>13712974</v>
      </c>
      <c r="AH64" s="299">
        <v>0.02</v>
      </c>
      <c r="AI64" s="262">
        <f t="shared" si="111"/>
        <v>288739493.69999999</v>
      </c>
      <c r="AJ64" s="266">
        <f t="shared" si="58"/>
        <v>13987233.48</v>
      </c>
      <c r="AK64" s="308">
        <f t="shared" si="59"/>
        <v>274752260.21999997</v>
      </c>
      <c r="AL64" s="308">
        <f>+AM64-AK64</f>
        <v>75514736.100000024</v>
      </c>
      <c r="AM64" s="308">
        <f t="shared" si="61"/>
        <v>350266996.31999999</v>
      </c>
      <c r="AN64" s="267">
        <f t="shared" si="62"/>
        <v>0.78440807471620699</v>
      </c>
      <c r="AO64" s="314">
        <f>SUM(AO62:AO63)</f>
        <v>469559999</v>
      </c>
      <c r="AP64" s="312">
        <f>SUM(AP62:AP63)</f>
        <v>47528100</v>
      </c>
      <c r="AQ64" s="312">
        <f>AO64+AP64</f>
        <v>517088099</v>
      </c>
      <c r="AR64" s="313">
        <f>AO64/AQ64</f>
        <v>0.90808510176135382</v>
      </c>
      <c r="AS64" s="262">
        <f t="shared" si="112"/>
        <v>280247305.42439997</v>
      </c>
      <c r="AT64" s="266">
        <f t="shared" si="113"/>
        <v>14266978.149599999</v>
      </c>
      <c r="AU64" s="308">
        <f t="shared" si="114"/>
        <v>279492158.06339997</v>
      </c>
      <c r="AV64" s="308">
        <f t="shared" si="115"/>
        <v>77780178.183000028</v>
      </c>
      <c r="AW64" s="308">
        <f t="shared" si="116"/>
        <v>357272336.2464</v>
      </c>
      <c r="AX64" s="267">
        <f t="shared" si="63"/>
        <v>0.78229442838989538</v>
      </c>
      <c r="AY64" s="314">
        <f>SUM(AY62:AY63)</f>
        <v>447911629</v>
      </c>
      <c r="AZ64" s="312">
        <f>SUM(AZ62:AZ63)</f>
        <v>73273092</v>
      </c>
      <c r="BA64" s="169">
        <f t="shared" si="64"/>
        <v>521184721</v>
      </c>
      <c r="BB64" s="313">
        <f t="shared" si="49"/>
        <v>0.85941051406992419</v>
      </c>
      <c r="BC64" s="262">
        <f t="shared" si="117"/>
        <v>285082001.22466797</v>
      </c>
      <c r="BD64" s="266">
        <f t="shared" si="118"/>
        <v>14552317.712591998</v>
      </c>
      <c r="BE64" s="308">
        <f t="shared" si="119"/>
        <v>284304199.44283795</v>
      </c>
      <c r="BF64" s="308">
        <f t="shared" si="120"/>
        <v>80113583.528490037</v>
      </c>
      <c r="BG64" s="308">
        <f t="shared" si="121"/>
        <v>364417782.97132796</v>
      </c>
      <c r="BH64" s="267">
        <f t="shared" si="65"/>
        <v>0.78016006004077665</v>
      </c>
      <c r="BI64" s="262">
        <f t="shared" si="66"/>
        <v>289990283.43169475</v>
      </c>
      <c r="BJ64" s="266">
        <f t="shared" si="67"/>
        <v>14843364.066843839</v>
      </c>
      <c r="BK64" s="308">
        <f t="shared" si="122"/>
        <v>289189147.5964098</v>
      </c>
      <c r="BL64" s="308">
        <f t="shared" si="68"/>
        <v>82516991.034344733</v>
      </c>
      <c r="BM64" s="308">
        <f t="shared" si="88"/>
        <v>371706138.63075453</v>
      </c>
      <c r="BN64" s="267">
        <f t="shared" si="69"/>
        <v>0.77800476651176464</v>
      </c>
      <c r="BO64" s="262">
        <f t="shared" si="70"/>
        <v>294972930.548338</v>
      </c>
      <c r="BP64" s="266">
        <f t="shared" si="71"/>
        <v>15140231.348180717</v>
      </c>
      <c r="BQ64" s="308">
        <f t="shared" si="123"/>
        <v>294147760.63799459</v>
      </c>
      <c r="BR64" s="308">
        <f t="shared" si="72"/>
        <v>84992500.765375078</v>
      </c>
      <c r="BS64" s="308">
        <f t="shared" si="73"/>
        <v>379140261.40336967</v>
      </c>
      <c r="BT64" s="267">
        <f t="shared" si="74"/>
        <v>0.77582834265403688</v>
      </c>
      <c r="BU64" s="262">
        <f t="shared" si="75"/>
        <v>300030715.8507545</v>
      </c>
      <c r="BV64" s="266">
        <f>+AG64*((100%+AH64)^6)</f>
        <v>15443035.975144332</v>
      </c>
      <c r="BW64" s="308">
        <f t="shared" si="77"/>
        <v>299180790.84310073</v>
      </c>
      <c r="BX64" s="308">
        <f t="shared" si="78"/>
        <v>87542275.788336337</v>
      </c>
      <c r="BY64" s="308">
        <f t="shared" si="79"/>
        <v>386723066.63143706</v>
      </c>
      <c r="BZ64" s="267">
        <f t="shared" si="80"/>
        <v>0.77363058130750784</v>
      </c>
      <c r="CA64" s="262">
        <f t="shared" si="81"/>
        <v>305164406.65996277</v>
      </c>
      <c r="CB64" s="266">
        <f t="shared" si="82"/>
        <v>15751896.694647215</v>
      </c>
      <c r="CC64" s="308">
        <f t="shared" si="83"/>
        <v>304288983.90207928</v>
      </c>
      <c r="CD64" s="308">
        <f>BX64*((100%+(AH64*1.5)))</f>
        <v>90168544.061986431</v>
      </c>
      <c r="CE64" s="308">
        <f>AB64*(100%+AH64)^7</f>
        <v>394457527.96406573</v>
      </c>
      <c r="CF64" s="267">
        <f t="shared" si="86"/>
        <v>0.7714112732811107</v>
      </c>
    </row>
    <row r="65" spans="2:49" s="32" customFormat="1" x14ac:dyDescent="0.35">
      <c r="B65" s="85"/>
      <c r="C65" s="85"/>
      <c r="D65" s="85"/>
      <c r="M65" s="62"/>
      <c r="S65" s="63"/>
    </row>
    <row r="68" spans="2:49" x14ac:dyDescent="0.35">
      <c r="AV68" s="18"/>
      <c r="AW68" s="443"/>
    </row>
    <row r="69" spans="2:49" x14ac:dyDescent="0.35">
      <c r="AV69" s="18"/>
    </row>
  </sheetData>
  <mergeCells count="16">
    <mergeCell ref="BU34:BZ34"/>
    <mergeCell ref="CA34:CF34"/>
    <mergeCell ref="V34:Y34"/>
    <mergeCell ref="B34:E34"/>
    <mergeCell ref="F34:I34"/>
    <mergeCell ref="J34:M34"/>
    <mergeCell ref="N34:Q34"/>
    <mergeCell ref="R34:U34"/>
    <mergeCell ref="BO34:BT34"/>
    <mergeCell ref="AI34:AN34"/>
    <mergeCell ref="AS34:AX34"/>
    <mergeCell ref="BC34:BH34"/>
    <mergeCell ref="Z34:AH34"/>
    <mergeCell ref="BI34:BN34"/>
    <mergeCell ref="AY34:BB34"/>
    <mergeCell ref="AO34:AR34"/>
  </mergeCells>
  <phoneticPr fontId="32" type="noConversion"/>
  <pageMargins left="0.7" right="0.7" top="0.75" bottom="0.75" header="0.3" footer="0.3"/>
  <pageSetup scale="80" fitToHeight="0" orientation="landscape" r:id="rId1"/>
  <rowBreaks count="1" manualBreakCount="1">
    <brk id="32" max="45" man="1"/>
  </rowBreaks>
  <ignoredErrors>
    <ignoredError sqref="E64 E62 I62 I64 L62:M62 M64 P62:Q62 Q6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A429-9BEC-44B9-AC64-C9C4DB5A4C97}">
  <sheetPr>
    <tabColor rgb="FF00B0F0"/>
  </sheetPr>
  <dimension ref="A1:CO65"/>
  <sheetViews>
    <sheetView zoomScale="70" zoomScaleNormal="70" workbookViewId="0">
      <pane xSplit="1" topLeftCell="I1" activePane="topRight" state="frozen"/>
      <selection pane="topRight" activeCell="V32" sqref="V32"/>
    </sheetView>
  </sheetViews>
  <sheetFormatPr defaultColWidth="9.26953125" defaultRowHeight="14.5" x14ac:dyDescent="0.35"/>
  <cols>
    <col min="1" max="1" width="25.54296875" customWidth="1"/>
    <col min="2" max="4" width="15.7265625" style="84" customWidth="1"/>
    <col min="5" max="5" width="15.7265625" customWidth="1"/>
    <col min="6" max="6" width="18.26953125" bestFit="1" customWidth="1"/>
    <col min="7" max="7" width="19.26953125" customWidth="1"/>
    <col min="8" max="8" width="18.453125" customWidth="1"/>
    <col min="9" max="9" width="19.7265625" customWidth="1"/>
    <col min="10" max="10" width="20.26953125" customWidth="1"/>
    <col min="11" max="13" width="15.7265625" customWidth="1"/>
    <col min="14" max="14" width="15.453125" bestFit="1" customWidth="1"/>
    <col min="15" max="15" width="15.7265625" customWidth="1"/>
    <col min="16" max="16" width="15.26953125" customWidth="1"/>
    <col min="17" max="18" width="17.26953125" customWidth="1"/>
    <col min="19" max="24" width="21.81640625" customWidth="1"/>
    <col min="25" max="25" width="23.54296875" bestFit="1" customWidth="1"/>
    <col min="26" max="26" width="23.7265625" customWidth="1"/>
    <col min="27" max="27" width="19.26953125" customWidth="1"/>
    <col min="28" max="28" width="19" customWidth="1"/>
    <col min="29" max="40" width="15.7265625" customWidth="1"/>
    <col min="41" max="41" width="17.26953125" bestFit="1" customWidth="1"/>
    <col min="42" max="46" width="15.7265625" customWidth="1"/>
    <col min="47" max="47" width="15.7265625" style="51" customWidth="1"/>
    <col min="48" max="50" width="15.7265625" customWidth="1"/>
    <col min="51" max="51" width="16.453125" bestFit="1" customWidth="1"/>
    <col min="52" max="69" width="15.7265625" customWidth="1"/>
    <col min="70" max="70" width="16.26953125" customWidth="1"/>
    <col min="71" max="71" width="19.26953125" bestFit="1" customWidth="1"/>
    <col min="72" max="74" width="16.26953125" customWidth="1"/>
    <col min="75" max="75" width="14.453125" customWidth="1"/>
    <col min="76" max="76" width="13.26953125" customWidth="1"/>
    <col min="77" max="77" width="19.26953125" bestFit="1" customWidth="1"/>
    <col min="78" max="78" width="14.26953125" customWidth="1"/>
    <col min="79" max="79" width="13.453125" customWidth="1"/>
    <col min="80" max="80" width="14.7265625" customWidth="1"/>
    <col min="81" max="82" width="13.453125" customWidth="1"/>
    <col min="83" max="83" width="19.26953125" bestFit="1" customWidth="1"/>
    <col min="84" max="84" width="16.26953125" customWidth="1"/>
  </cols>
  <sheetData>
    <row r="1" spans="1:47" s="32" customFormat="1" ht="15" thickBot="1" x14ac:dyDescent="0.4">
      <c r="B1" s="85"/>
      <c r="C1" s="85"/>
      <c r="D1" s="85"/>
      <c r="AU1" s="240"/>
    </row>
    <row r="2" spans="1:47" ht="54.65" customHeight="1" thickBot="1" x14ac:dyDescent="0.4">
      <c r="B2" s="361" t="s">
        <v>171</v>
      </c>
      <c r="C2" s="361" t="s">
        <v>172</v>
      </c>
      <c r="D2" s="361" t="s">
        <v>173</v>
      </c>
      <c r="E2" s="160" t="s">
        <v>174</v>
      </c>
      <c r="F2" s="160" t="s">
        <v>175</v>
      </c>
      <c r="G2" s="160" t="s">
        <v>176</v>
      </c>
      <c r="H2" s="160" t="s">
        <v>177</v>
      </c>
      <c r="I2" s="160" t="s">
        <v>178</v>
      </c>
      <c r="J2" s="160" t="s">
        <v>179</v>
      </c>
      <c r="K2" s="269" t="s">
        <v>180</v>
      </c>
      <c r="L2" s="269" t="s">
        <v>181</v>
      </c>
      <c r="M2" s="268" t="s">
        <v>182</v>
      </c>
      <c r="N2" s="268" t="s">
        <v>183</v>
      </c>
      <c r="O2" s="332" t="s">
        <v>118</v>
      </c>
      <c r="P2" s="327" t="s">
        <v>119</v>
      </c>
      <c r="Q2" s="254" t="s">
        <v>120</v>
      </c>
      <c r="R2" s="254" t="s">
        <v>121</v>
      </c>
      <c r="S2" s="250" t="s">
        <v>122</v>
      </c>
      <c r="T2" s="250" t="s">
        <v>122</v>
      </c>
      <c r="U2" s="477" t="s">
        <v>123</v>
      </c>
      <c r="V2" s="477" t="s">
        <v>124</v>
      </c>
      <c r="W2" s="152" t="s">
        <v>122</v>
      </c>
      <c r="X2" s="152" t="s">
        <v>122</v>
      </c>
      <c r="Y2" s="269" t="s">
        <v>125</v>
      </c>
      <c r="Z2" s="269" t="s">
        <v>125</v>
      </c>
      <c r="AA2" s="269" t="s">
        <v>125</v>
      </c>
      <c r="AB2" s="269" t="s">
        <v>125</v>
      </c>
      <c r="AC2" s="253" t="s">
        <v>126</v>
      </c>
      <c r="AD2" s="269" t="s">
        <v>126</v>
      </c>
      <c r="AE2" s="269" t="s">
        <v>126</v>
      </c>
      <c r="AF2" s="269" t="s">
        <v>126</v>
      </c>
      <c r="AG2" s="269" t="s">
        <v>127</v>
      </c>
      <c r="AH2" s="254" t="s">
        <v>127</v>
      </c>
      <c r="AI2" s="254" t="s">
        <v>127</v>
      </c>
      <c r="AJ2" s="254" t="s">
        <v>127</v>
      </c>
      <c r="AU2"/>
    </row>
    <row r="3" spans="1:47" ht="54" customHeight="1" thickBot="1" x14ac:dyDescent="0.4">
      <c r="A3" s="58" t="s">
        <v>128</v>
      </c>
      <c r="B3" s="362" t="s">
        <v>129</v>
      </c>
      <c r="C3" s="362" t="s">
        <v>129</v>
      </c>
      <c r="D3" s="362" t="s">
        <v>129</v>
      </c>
      <c r="E3" s="161" t="s">
        <v>129</v>
      </c>
      <c r="F3" s="161" t="s">
        <v>129</v>
      </c>
      <c r="G3" s="161" t="s">
        <v>129</v>
      </c>
      <c r="H3" s="161" t="s">
        <v>129</v>
      </c>
      <c r="I3" s="161" t="s">
        <v>129</v>
      </c>
      <c r="J3" s="161" t="s">
        <v>129</v>
      </c>
      <c r="K3" s="254" t="s">
        <v>129</v>
      </c>
      <c r="L3" s="254" t="s">
        <v>129</v>
      </c>
      <c r="M3" s="270" t="s">
        <v>129</v>
      </c>
      <c r="N3" s="270" t="s">
        <v>129</v>
      </c>
      <c r="O3" s="269" t="s">
        <v>130</v>
      </c>
      <c r="P3" s="254" t="s">
        <v>130</v>
      </c>
      <c r="Q3" s="272" t="s">
        <v>130</v>
      </c>
      <c r="R3" s="272" t="s">
        <v>130</v>
      </c>
      <c r="S3" s="152" t="s">
        <v>184</v>
      </c>
      <c r="T3" s="152" t="s">
        <v>185</v>
      </c>
      <c r="U3" s="478" t="s">
        <v>186</v>
      </c>
      <c r="V3" s="478" t="s">
        <v>187</v>
      </c>
      <c r="W3" s="152" t="s">
        <v>186</v>
      </c>
      <c r="X3" s="152" t="s">
        <v>187</v>
      </c>
      <c r="Y3" s="269" t="str">
        <f>+S3</f>
        <v>2020 LOTTR-NI</v>
      </c>
      <c r="Z3" s="269" t="s">
        <v>185</v>
      </c>
      <c r="AA3" s="269" t="s">
        <v>186</v>
      </c>
      <c r="AB3" s="269" t="s">
        <v>134</v>
      </c>
      <c r="AC3" s="253" t="s">
        <v>135</v>
      </c>
      <c r="AD3" s="269" t="s">
        <v>136</v>
      </c>
      <c r="AE3" s="269" t="s">
        <v>137</v>
      </c>
      <c r="AF3" s="253" t="s">
        <v>138</v>
      </c>
      <c r="AG3" s="269" t="s">
        <v>139</v>
      </c>
      <c r="AH3" s="254" t="s">
        <v>140</v>
      </c>
      <c r="AI3" s="254" t="s">
        <v>141</v>
      </c>
      <c r="AJ3" s="254" t="s">
        <v>142</v>
      </c>
      <c r="AU3"/>
    </row>
    <row r="4" spans="1:47" x14ac:dyDescent="0.35">
      <c r="A4" s="55" t="s">
        <v>71</v>
      </c>
      <c r="B4" s="162">
        <f t="shared" ref="B4:B28" si="0">+E36</f>
        <v>0.93402866784372163</v>
      </c>
      <c r="C4" s="162">
        <f t="shared" ref="C4:C28" si="1">+I36</f>
        <v>0.93709280311465781</v>
      </c>
      <c r="D4" s="162">
        <f t="shared" ref="D4:D28" si="2">+M36</f>
        <v>0.93779267501357877</v>
      </c>
      <c r="E4" s="461">
        <f t="shared" ref="E4:E28" si="3">+Q36</f>
        <v>0.99142351947501783</v>
      </c>
      <c r="F4" s="455">
        <f t="shared" ref="F4:F32" si="4">U36</f>
        <v>0.99099160870895986</v>
      </c>
      <c r="G4" s="462">
        <f t="shared" ref="G4:G32" si="5">Y36</f>
        <v>0.95478046334299582</v>
      </c>
      <c r="H4" s="462">
        <f t="shared" ref="H4:H32" si="6">AC36</f>
        <v>0.94894121901301687</v>
      </c>
      <c r="I4" s="462">
        <f>AR36</f>
        <v>0.93565964083870978</v>
      </c>
      <c r="J4" s="462">
        <f>BB36</f>
        <v>0.95273904336722981</v>
      </c>
      <c r="K4" s="371">
        <f>AN36</f>
        <v>0.85258589055179856</v>
      </c>
      <c r="L4" s="366">
        <f t="shared" ref="L4:L28" si="7">BH36</f>
        <v>0.85112273217696954</v>
      </c>
      <c r="M4" s="273">
        <f>BT36</f>
        <v>0.8496450512273489</v>
      </c>
      <c r="N4" s="371">
        <f>CF36</f>
        <v>0.8481527035591564</v>
      </c>
      <c r="O4" s="368">
        <f t="shared" ref="O4:O32" si="8">+(K4-H4)*100</f>
        <v>-9.6355328461218299</v>
      </c>
      <c r="P4" s="368">
        <f t="shared" ref="P4:P32" si="9">+(L4-H4)*100</f>
        <v>-9.781848683604732</v>
      </c>
      <c r="Q4" s="368">
        <f t="shared" ref="Q4:Q32" si="10">+(M4-H4)*100</f>
        <v>-9.9296167785667961</v>
      </c>
      <c r="R4" s="368">
        <f>+(N4-H4)*100</f>
        <v>-10.078851545386048</v>
      </c>
      <c r="S4" s="479">
        <v>0.87</v>
      </c>
      <c r="T4" s="479">
        <v>0.82</v>
      </c>
      <c r="U4" s="487">
        <v>0</v>
      </c>
      <c r="V4" s="488">
        <v>0</v>
      </c>
      <c r="W4" s="479">
        <f>+T4+U4</f>
        <v>0.82</v>
      </c>
      <c r="X4" s="479">
        <f>+W4+V4</f>
        <v>0.82</v>
      </c>
      <c r="Y4" s="333">
        <f t="shared" ref="Y4:Y32" si="11">+K4-S4</f>
        <v>-1.7414109448201431E-2</v>
      </c>
      <c r="Z4" s="372">
        <f t="shared" ref="Z4:Z32" si="12">+L4-T4</f>
        <v>3.1122732176969592E-2</v>
      </c>
      <c r="AA4" s="372">
        <f t="shared" ref="AA4:AA32" si="13">+M4-W4</f>
        <v>2.9645051227348951E-2</v>
      </c>
      <c r="AB4" s="372">
        <f t="shared" ref="AB4:AB32" si="14">+N4-X4</f>
        <v>2.8152703559156445E-2</v>
      </c>
      <c r="AC4" s="329">
        <f t="shared" ref="AC4:AC29" si="15">AM36</f>
        <v>1888108.1400000001</v>
      </c>
      <c r="AD4" s="338">
        <f t="shared" ref="AD4:AD29" si="16">BG36</f>
        <v>1926059.1136139999</v>
      </c>
      <c r="AE4" s="338">
        <f t="shared" ref="AE4:AE29" si="17">BS36</f>
        <v>1964772.9017976413</v>
      </c>
      <c r="AF4" s="338">
        <f>CE36</f>
        <v>2004264.8371237738</v>
      </c>
      <c r="AG4" s="373">
        <f t="shared" ref="AG4:AG32" si="18">AC4*S4</f>
        <v>1642654.0818</v>
      </c>
      <c r="AH4" s="373">
        <f t="shared" ref="AH4:AH32" si="19">AD4*T4</f>
        <v>1579368.4731634799</v>
      </c>
      <c r="AI4" s="373">
        <f t="shared" ref="AI4:AJ32" si="20">AE4*W4</f>
        <v>1611113.7794740659</v>
      </c>
      <c r="AJ4" s="373">
        <f t="shared" si="20"/>
        <v>1643497.1664414944</v>
      </c>
      <c r="AU4"/>
    </row>
    <row r="5" spans="1:47" x14ac:dyDescent="0.35">
      <c r="A5" s="56" t="s">
        <v>72</v>
      </c>
      <c r="B5" s="162">
        <f t="shared" si="0"/>
        <v>0.74312664216494673</v>
      </c>
      <c r="C5" s="162">
        <f t="shared" si="1"/>
        <v>0.74522223429773093</v>
      </c>
      <c r="D5" s="162">
        <f t="shared" si="2"/>
        <v>0.72846443187694554</v>
      </c>
      <c r="E5" s="461">
        <f t="shared" si="3"/>
        <v>0.88816723404740694</v>
      </c>
      <c r="F5" s="363">
        <f t="shared" si="4"/>
        <v>0.88775890979359162</v>
      </c>
      <c r="G5" s="162">
        <f t="shared" si="5"/>
        <v>0.94768462924661045</v>
      </c>
      <c r="H5" s="162">
        <f t="shared" si="6"/>
        <v>0.95720995822465382</v>
      </c>
      <c r="I5" s="162">
        <f t="shared" ref="I5:I32" si="21">AR37</f>
        <v>0.96947577663533835</v>
      </c>
      <c r="J5" s="162">
        <f t="shared" ref="J5:J32" si="22">BB37</f>
        <v>0.97380776057278273</v>
      </c>
      <c r="K5" s="316">
        <f t="shared" ref="K5:K32" si="23">AN37</f>
        <v>0.89357836588417405</v>
      </c>
      <c r="L5" s="339">
        <f t="shared" si="7"/>
        <v>0.89045613630376586</v>
      </c>
      <c r="M5" s="273">
        <f t="shared" ref="M5:M32" si="24">BT37</f>
        <v>0.88724230582252805</v>
      </c>
      <c r="N5" s="316">
        <f t="shared" ref="N5:N32" si="25">CF37</f>
        <v>0.88393418702596505</v>
      </c>
      <c r="O5" s="369">
        <f t="shared" si="8"/>
        <v>-6.363159234047977</v>
      </c>
      <c r="P5" s="369">
        <f t="shared" si="9"/>
        <v>-6.6753821920887972</v>
      </c>
      <c r="Q5" s="369">
        <f t="shared" si="10"/>
        <v>-6.9967652402125768</v>
      </c>
      <c r="R5" s="369">
        <f t="shared" ref="R5:R32" si="26">+(N5-H5)*100</f>
        <v>-7.3275771198688773</v>
      </c>
      <c r="S5" s="480">
        <v>0.9</v>
      </c>
      <c r="T5" s="480">
        <v>0.85</v>
      </c>
      <c r="U5" s="489">
        <v>0</v>
      </c>
      <c r="V5" s="490">
        <v>0</v>
      </c>
      <c r="W5" s="480">
        <f>+T5+U5</f>
        <v>0.85</v>
      </c>
      <c r="X5" s="480">
        <f>+W5+V5</f>
        <v>0.85</v>
      </c>
      <c r="Y5" s="333">
        <f t="shared" si="11"/>
        <v>-6.4216341158259693E-3</v>
      </c>
      <c r="Z5" s="333">
        <f t="shared" si="12"/>
        <v>4.0456136303765877E-2</v>
      </c>
      <c r="AA5" s="333">
        <f t="shared" si="13"/>
        <v>3.7242305822528077E-2</v>
      </c>
      <c r="AB5" s="333">
        <f t="shared" si="14"/>
        <v>3.3934187025965068E-2</v>
      </c>
      <c r="AC5" s="329">
        <f t="shared" si="15"/>
        <v>1942868.4000000001</v>
      </c>
      <c r="AD5" s="335">
        <f t="shared" si="16"/>
        <v>2061189.08556</v>
      </c>
      <c r="AE5" s="335">
        <f t="shared" si="17"/>
        <v>2186715.5008706036</v>
      </c>
      <c r="AF5" s="335">
        <f t="shared" ref="AF5:AF28" si="27">CE37</f>
        <v>2319886.4748736238</v>
      </c>
      <c r="AG5" s="337">
        <f t="shared" si="18"/>
        <v>1748581.56</v>
      </c>
      <c r="AH5" s="337">
        <f t="shared" si="19"/>
        <v>1752010.722726</v>
      </c>
      <c r="AI5" s="337">
        <f t="shared" si="20"/>
        <v>1858708.1757400129</v>
      </c>
      <c r="AJ5" s="337">
        <f t="shared" si="20"/>
        <v>1971903.5036425802</v>
      </c>
      <c r="AU5"/>
    </row>
    <row r="6" spans="1:47" x14ac:dyDescent="0.35">
      <c r="A6" s="56" t="s">
        <v>73</v>
      </c>
      <c r="B6" s="162">
        <f t="shared" si="0"/>
        <v>0.56601362464874194</v>
      </c>
      <c r="C6" s="162">
        <f t="shared" si="1"/>
        <v>0.53853010656248101</v>
      </c>
      <c r="D6" s="162">
        <f t="shared" si="2"/>
        <v>0.56062554977221468</v>
      </c>
      <c r="E6" s="461">
        <f t="shared" si="3"/>
        <v>0.72809281078652532</v>
      </c>
      <c r="F6" s="363">
        <f t="shared" si="4"/>
        <v>0.75404826456658081</v>
      </c>
      <c r="G6" s="162">
        <f t="shared" si="5"/>
        <v>0.77469612207279792</v>
      </c>
      <c r="H6" s="162">
        <f t="shared" si="6"/>
        <v>0.77967518193897001</v>
      </c>
      <c r="I6" s="162">
        <f t="shared" si="21"/>
        <v>0.93289905986408306</v>
      </c>
      <c r="J6" s="162">
        <f t="shared" si="22"/>
        <v>0.90820205978509017</v>
      </c>
      <c r="K6" s="316">
        <f t="shared" si="23"/>
        <v>0.68194562087888833</v>
      </c>
      <c r="L6" s="339">
        <f t="shared" si="7"/>
        <v>0.66959513648254354</v>
      </c>
      <c r="M6" s="273">
        <f t="shared" si="24"/>
        <v>0.65676506596873696</v>
      </c>
      <c r="N6" s="316">
        <f t="shared" si="25"/>
        <v>0.64343678635583645</v>
      </c>
      <c r="O6" s="369">
        <f t="shared" si="8"/>
        <v>-9.7729561060081682</v>
      </c>
      <c r="P6" s="369">
        <f t="shared" si="9"/>
        <v>-11.008004545642647</v>
      </c>
      <c r="Q6" s="369">
        <f t="shared" si="10"/>
        <v>-12.291011597023305</v>
      </c>
      <c r="R6" s="369">
        <f t="shared" si="26"/>
        <v>-13.623839558313355</v>
      </c>
      <c r="S6" s="480">
        <v>0.7</v>
      </c>
      <c r="T6" s="480">
        <v>0.6</v>
      </c>
      <c r="U6" s="489">
        <v>0</v>
      </c>
      <c r="V6" s="490">
        <v>-0.01</v>
      </c>
      <c r="W6" s="480">
        <f t="shared" ref="W6:W28" si="28">+T6+U6</f>
        <v>0.6</v>
      </c>
      <c r="X6" s="480">
        <f t="shared" ref="X6:X28" si="29">+W6+V6</f>
        <v>0.59</v>
      </c>
      <c r="Y6" s="333">
        <f t="shared" si="11"/>
        <v>-1.805437912111163E-2</v>
      </c>
      <c r="Z6" s="333">
        <f t="shared" si="12"/>
        <v>6.9595136482543563E-2</v>
      </c>
      <c r="AA6" s="333">
        <f t="shared" si="13"/>
        <v>5.6765065968736983E-2</v>
      </c>
      <c r="AB6" s="333">
        <f t="shared" si="14"/>
        <v>5.3436786355836485E-2</v>
      </c>
      <c r="AC6" s="329">
        <f t="shared" si="15"/>
        <v>38936485.120000005</v>
      </c>
      <c r="AD6" s="335">
        <f t="shared" si="16"/>
        <v>42113702.305792004</v>
      </c>
      <c r="AE6" s="335">
        <f t="shared" si="17"/>
        <v>45550180.413944639</v>
      </c>
      <c r="AF6" s="335">
        <f t="shared" si="27"/>
        <v>49267075.135722518</v>
      </c>
      <c r="AG6" s="337">
        <f t="shared" si="18"/>
        <v>27255539.584000003</v>
      </c>
      <c r="AH6" s="337">
        <f t="shared" si="19"/>
        <v>25268221.383475203</v>
      </c>
      <c r="AI6" s="337">
        <f t="shared" si="20"/>
        <v>27330108.248366784</v>
      </c>
      <c r="AJ6" s="337">
        <f t="shared" si="20"/>
        <v>29067574.330076285</v>
      </c>
      <c r="AU6"/>
    </row>
    <row r="7" spans="1:47" x14ac:dyDescent="0.35">
      <c r="A7" s="56" t="s">
        <v>74</v>
      </c>
      <c r="B7" s="162">
        <f t="shared" si="0"/>
        <v>0.69540980297066901</v>
      </c>
      <c r="C7" s="162">
        <f t="shared" si="1"/>
        <v>0.68516589843589037</v>
      </c>
      <c r="D7" s="162">
        <f t="shared" si="2"/>
        <v>0.69058538331230623</v>
      </c>
      <c r="E7" s="461">
        <f t="shared" si="3"/>
        <v>0.89852023080262478</v>
      </c>
      <c r="F7" s="363">
        <f t="shared" si="4"/>
        <v>0.8992237567793161</v>
      </c>
      <c r="G7" s="162">
        <f t="shared" si="5"/>
        <v>0.92176518885849024</v>
      </c>
      <c r="H7" s="162">
        <f t="shared" si="6"/>
        <v>0.90687696310825439</v>
      </c>
      <c r="I7" s="162">
        <f t="shared" si="21"/>
        <v>0.94817206522711894</v>
      </c>
      <c r="J7" s="162">
        <f t="shared" si="22"/>
        <v>0.93494609110934257</v>
      </c>
      <c r="K7" s="316">
        <f t="shared" si="23"/>
        <v>0.83170650252237122</v>
      </c>
      <c r="L7" s="339">
        <f t="shared" si="7"/>
        <v>0.82839045417722368</v>
      </c>
      <c r="M7" s="273">
        <f t="shared" si="24"/>
        <v>0.82500906654807438</v>
      </c>
      <c r="N7" s="316">
        <f t="shared" si="25"/>
        <v>0.82156105219228381</v>
      </c>
      <c r="O7" s="369">
        <f t="shared" si="8"/>
        <v>-7.517046058588317</v>
      </c>
      <c r="P7" s="369">
        <f t="shared" si="9"/>
        <v>-7.8486508931030707</v>
      </c>
      <c r="Q7" s="369">
        <f t="shared" si="10"/>
        <v>-8.186789656018</v>
      </c>
      <c r="R7" s="369">
        <f t="shared" si="26"/>
        <v>-8.5315910915970576</v>
      </c>
      <c r="S7" s="480">
        <v>0.85</v>
      </c>
      <c r="T7" s="480">
        <v>0.8</v>
      </c>
      <c r="U7" s="489">
        <v>0</v>
      </c>
      <c r="V7" s="490">
        <v>0</v>
      </c>
      <c r="W7" s="480">
        <f t="shared" si="28"/>
        <v>0.8</v>
      </c>
      <c r="X7" s="480">
        <f t="shared" si="29"/>
        <v>0.8</v>
      </c>
      <c r="Y7" s="333">
        <f t="shared" si="11"/>
        <v>-1.8293497477628762E-2</v>
      </c>
      <c r="Z7" s="333">
        <f t="shared" si="12"/>
        <v>2.8390454177223634E-2</v>
      </c>
      <c r="AA7" s="333">
        <f t="shared" si="13"/>
        <v>2.5009066548074332E-2</v>
      </c>
      <c r="AB7" s="333">
        <f t="shared" si="14"/>
        <v>2.1561052192283769E-2</v>
      </c>
      <c r="AC7" s="329">
        <f t="shared" si="15"/>
        <v>7464476.2800000003</v>
      </c>
      <c r="AD7" s="335">
        <f t="shared" si="16"/>
        <v>7766041.1217119992</v>
      </c>
      <c r="AE7" s="335">
        <f t="shared" si="17"/>
        <v>8079789.1830291646</v>
      </c>
      <c r="AF7" s="335">
        <f t="shared" si="27"/>
        <v>8406212.6660235412</v>
      </c>
      <c r="AG7" s="337">
        <f t="shared" si="18"/>
        <v>6344804.8380000005</v>
      </c>
      <c r="AH7" s="337">
        <f t="shared" si="19"/>
        <v>6212832.8973695999</v>
      </c>
      <c r="AI7" s="337">
        <f t="shared" si="20"/>
        <v>6463831.3464233316</v>
      </c>
      <c r="AJ7" s="337">
        <f t="shared" si="20"/>
        <v>6724970.132818833</v>
      </c>
      <c r="AU7"/>
    </row>
    <row r="8" spans="1:47" x14ac:dyDescent="0.35">
      <c r="A8" s="56" t="s">
        <v>75</v>
      </c>
      <c r="B8" s="162">
        <f t="shared" si="0"/>
        <v>0.52856495410202708</v>
      </c>
      <c r="C8" s="162">
        <f t="shared" si="1"/>
        <v>0.50296648537840027</v>
      </c>
      <c r="D8" s="162">
        <f t="shared" si="2"/>
        <v>0.44152735823420947</v>
      </c>
      <c r="E8" s="461">
        <f t="shared" si="3"/>
        <v>0.75690211948932418</v>
      </c>
      <c r="F8" s="363">
        <f t="shared" si="4"/>
        <v>0.75969354437335179</v>
      </c>
      <c r="G8" s="162">
        <f t="shared" si="5"/>
        <v>0.79971781753144411</v>
      </c>
      <c r="H8" s="162">
        <f t="shared" si="6"/>
        <v>0.83496259288672625</v>
      </c>
      <c r="I8" s="162">
        <f t="shared" si="21"/>
        <v>0.86154986519313925</v>
      </c>
      <c r="J8" s="162">
        <f t="shared" si="22"/>
        <v>0.91459679245483738</v>
      </c>
      <c r="K8" s="316">
        <f t="shared" si="23"/>
        <v>0.68108081606340853</v>
      </c>
      <c r="L8" s="339">
        <f t="shared" si="7"/>
        <v>0.67479684521498473</v>
      </c>
      <c r="M8" s="273">
        <f t="shared" si="24"/>
        <v>0.66838905525622583</v>
      </c>
      <c r="N8" s="316">
        <f t="shared" si="25"/>
        <v>0.66185500646033246</v>
      </c>
      <c r="O8" s="369">
        <f t="shared" si="8"/>
        <v>-15.388177682331772</v>
      </c>
      <c r="P8" s="369">
        <f t="shared" si="9"/>
        <v>-16.016574767174152</v>
      </c>
      <c r="Q8" s="369">
        <f t="shared" si="10"/>
        <v>-16.657353763050043</v>
      </c>
      <c r="R8" s="369">
        <f t="shared" si="26"/>
        <v>-17.310758642639378</v>
      </c>
      <c r="S8" s="480">
        <v>0.7</v>
      </c>
      <c r="T8" s="480">
        <v>0.62</v>
      </c>
      <c r="U8" s="489">
        <v>0</v>
      </c>
      <c r="V8" s="490">
        <v>-0.01</v>
      </c>
      <c r="W8" s="480">
        <f t="shared" si="28"/>
        <v>0.62</v>
      </c>
      <c r="X8" s="480">
        <f t="shared" si="29"/>
        <v>0.61</v>
      </c>
      <c r="Y8" s="333">
        <f t="shared" si="11"/>
        <v>-1.8919183936591422E-2</v>
      </c>
      <c r="Z8" s="333">
        <f t="shared" si="12"/>
        <v>5.4796845214984735E-2</v>
      </c>
      <c r="AA8" s="333">
        <f t="shared" si="13"/>
        <v>4.8389055256225832E-2</v>
      </c>
      <c r="AB8" s="333">
        <f t="shared" si="14"/>
        <v>5.1855006460332476E-2</v>
      </c>
      <c r="AC8" s="329">
        <f t="shared" si="15"/>
        <v>2101236.7200000002</v>
      </c>
      <c r="AD8" s="335">
        <f t="shared" si="16"/>
        <v>2186126.6834879997</v>
      </c>
      <c r="AE8" s="335">
        <f t="shared" si="17"/>
        <v>2274446.2015009155</v>
      </c>
      <c r="AF8" s="335">
        <f t="shared" si="27"/>
        <v>2366333.8280415516</v>
      </c>
      <c r="AG8" s="337">
        <f t="shared" si="18"/>
        <v>1470865.7040000001</v>
      </c>
      <c r="AH8" s="337">
        <f t="shared" si="19"/>
        <v>1355398.5437625598</v>
      </c>
      <c r="AI8" s="337">
        <f t="shared" si="20"/>
        <v>1410156.6449305676</v>
      </c>
      <c r="AJ8" s="337">
        <f t="shared" si="20"/>
        <v>1443463.6351053466</v>
      </c>
      <c r="AU8"/>
    </row>
    <row r="9" spans="1:47" x14ac:dyDescent="0.35">
      <c r="A9" s="56" t="s">
        <v>76</v>
      </c>
      <c r="B9" s="162">
        <f t="shared" si="0"/>
        <v>0.8823245661419753</v>
      </c>
      <c r="C9" s="162">
        <f t="shared" si="1"/>
        <v>0.87701847267555555</v>
      </c>
      <c r="D9" s="162">
        <f t="shared" si="2"/>
        <v>0.84012889515125566</v>
      </c>
      <c r="E9" s="461">
        <f t="shared" si="3"/>
        <v>0.95711534071362303</v>
      </c>
      <c r="F9" s="363">
        <f t="shared" si="4"/>
        <v>0.96783639271851118</v>
      </c>
      <c r="G9" s="162">
        <f t="shared" si="5"/>
        <v>0.95704699269073368</v>
      </c>
      <c r="H9" s="162">
        <f t="shared" si="6"/>
        <v>0.91064674275869228</v>
      </c>
      <c r="I9" s="162">
        <f t="shared" si="21"/>
        <v>0.93125801004792297</v>
      </c>
      <c r="J9" s="162">
        <f t="shared" si="22"/>
        <v>0.93200121189810881</v>
      </c>
      <c r="K9" s="316">
        <f t="shared" si="23"/>
        <v>0.81714337011172111</v>
      </c>
      <c r="L9" s="339">
        <f t="shared" si="7"/>
        <v>0.80833225132458753</v>
      </c>
      <c r="M9" s="273">
        <f t="shared" si="24"/>
        <v>0.79909656048705358</v>
      </c>
      <c r="N9" s="316">
        <f t="shared" si="25"/>
        <v>0.78941583919532998</v>
      </c>
      <c r="O9" s="369">
        <f t="shared" si="8"/>
        <v>-9.3503372646971172</v>
      </c>
      <c r="P9" s="369">
        <f t="shared" si="9"/>
        <v>-10.231449143410476</v>
      </c>
      <c r="Q9" s="369">
        <f t="shared" si="10"/>
        <v>-11.155018227163872</v>
      </c>
      <c r="R9" s="369">
        <f t="shared" si="26"/>
        <v>-12.123090356336231</v>
      </c>
      <c r="S9" s="480">
        <v>0.8</v>
      </c>
      <c r="T9" s="480">
        <v>0.75</v>
      </c>
      <c r="U9" s="489">
        <v>0</v>
      </c>
      <c r="V9" s="491">
        <v>0</v>
      </c>
      <c r="W9" s="480">
        <f t="shared" si="28"/>
        <v>0.75</v>
      </c>
      <c r="X9" s="480">
        <f t="shared" si="29"/>
        <v>0.75</v>
      </c>
      <c r="Y9" s="333">
        <f t="shared" si="11"/>
        <v>1.7143370111721068E-2</v>
      </c>
      <c r="Z9" s="333">
        <f t="shared" si="12"/>
        <v>5.8332251324587525E-2</v>
      </c>
      <c r="AA9" s="333">
        <f t="shared" si="13"/>
        <v>4.9096560487053575E-2</v>
      </c>
      <c r="AB9" s="333">
        <f t="shared" si="14"/>
        <v>3.9415839195329982E-2</v>
      </c>
      <c r="AC9" s="329">
        <f t="shared" si="15"/>
        <v>4257568.3500000006</v>
      </c>
      <c r="AD9" s="335">
        <f t="shared" si="16"/>
        <v>4693969.1058750004</v>
      </c>
      <c r="AE9" s="335">
        <f t="shared" si="17"/>
        <v>5175100.939227188</v>
      </c>
      <c r="AF9" s="335">
        <f t="shared" si="27"/>
        <v>5705548.7854979755</v>
      </c>
      <c r="AG9" s="337">
        <f t="shared" si="18"/>
        <v>3406054.6800000006</v>
      </c>
      <c r="AH9" s="337">
        <f t="shared" si="19"/>
        <v>3520476.8294062503</v>
      </c>
      <c r="AI9" s="337">
        <f t="shared" si="20"/>
        <v>3881325.704420391</v>
      </c>
      <c r="AJ9" s="337">
        <f t="shared" si="20"/>
        <v>4279161.5891234819</v>
      </c>
      <c r="AU9"/>
    </row>
    <row r="10" spans="1:47" x14ac:dyDescent="0.35">
      <c r="A10" s="56" t="s">
        <v>77</v>
      </c>
      <c r="B10" s="162">
        <f t="shared" si="0"/>
        <v>0.95555198491574433</v>
      </c>
      <c r="C10" s="162">
        <f t="shared" si="1"/>
        <v>0.94840080801193505</v>
      </c>
      <c r="D10" s="162">
        <f t="shared" si="2"/>
        <v>0.94403554588747218</v>
      </c>
      <c r="E10" s="461">
        <f t="shared" si="3"/>
        <v>0.96910952816015139</v>
      </c>
      <c r="F10" s="363">
        <f t="shared" si="4"/>
        <v>0.97022982160105109</v>
      </c>
      <c r="G10" s="162">
        <f t="shared" si="5"/>
        <v>0.95388073326103684</v>
      </c>
      <c r="H10" s="162">
        <f t="shared" si="6"/>
        <v>0.92548929213810383</v>
      </c>
      <c r="I10" s="162">
        <f t="shared" si="21"/>
        <v>0.9485972462650355</v>
      </c>
      <c r="J10" s="162">
        <f t="shared" si="22"/>
        <v>0.94596882455462039</v>
      </c>
      <c r="K10" s="316">
        <f t="shared" si="23"/>
        <v>0.84736617184973129</v>
      </c>
      <c r="L10" s="339">
        <f t="shared" si="7"/>
        <v>0.84288815516467419</v>
      </c>
      <c r="M10" s="273">
        <f t="shared" si="24"/>
        <v>0.83827876109313171</v>
      </c>
      <c r="N10" s="316">
        <f t="shared" si="25"/>
        <v>0.83353413524623166</v>
      </c>
      <c r="O10" s="369">
        <f t="shared" si="8"/>
        <v>-7.8123120288372538</v>
      </c>
      <c r="P10" s="369">
        <f t="shared" si="9"/>
        <v>-8.2601136973429625</v>
      </c>
      <c r="Q10" s="369">
        <f t="shared" si="10"/>
        <v>-8.7210531044972122</v>
      </c>
      <c r="R10" s="369">
        <f t="shared" si="26"/>
        <v>-9.1955156891872178</v>
      </c>
      <c r="S10" s="480">
        <v>0.85</v>
      </c>
      <c r="T10" s="480">
        <v>0.8</v>
      </c>
      <c r="U10" s="489">
        <v>0</v>
      </c>
      <c r="V10" s="490">
        <v>0</v>
      </c>
      <c r="W10" s="480">
        <f t="shared" si="28"/>
        <v>0.8</v>
      </c>
      <c r="X10" s="480">
        <f t="shared" si="29"/>
        <v>0.8</v>
      </c>
      <c r="Y10" s="333">
        <f t="shared" si="11"/>
        <v>-2.6338281502686911E-3</v>
      </c>
      <c r="Z10" s="333">
        <f t="shared" si="12"/>
        <v>4.2888155164674147E-2</v>
      </c>
      <c r="AA10" s="333">
        <f t="shared" si="13"/>
        <v>3.8278761093131664E-2</v>
      </c>
      <c r="AB10" s="333">
        <f t="shared" si="14"/>
        <v>3.3534135246231611E-2</v>
      </c>
      <c r="AC10" s="329">
        <f t="shared" si="15"/>
        <v>7037814.9000000004</v>
      </c>
      <c r="AD10" s="335">
        <f t="shared" si="16"/>
        <v>7466417.8274100004</v>
      </c>
      <c r="AE10" s="335">
        <f t="shared" si="17"/>
        <v>7921122.6730992682</v>
      </c>
      <c r="AF10" s="335">
        <f t="shared" si="27"/>
        <v>8403519.0438910145</v>
      </c>
      <c r="AG10" s="337">
        <f t="shared" si="18"/>
        <v>5982142.665</v>
      </c>
      <c r="AH10" s="337">
        <f t="shared" si="19"/>
        <v>5973134.2619280005</v>
      </c>
      <c r="AI10" s="337">
        <f t="shared" si="20"/>
        <v>6336898.1384794153</v>
      </c>
      <c r="AJ10" s="337">
        <f t="shared" si="20"/>
        <v>6722815.2351128124</v>
      </c>
      <c r="AU10"/>
    </row>
    <row r="11" spans="1:47" x14ac:dyDescent="0.35">
      <c r="A11" s="56" t="s">
        <v>78</v>
      </c>
      <c r="B11" s="162">
        <f t="shared" si="0"/>
        <v>0.44731629500242515</v>
      </c>
      <c r="C11" s="162">
        <f t="shared" si="1"/>
        <v>0.4385922455358584</v>
      </c>
      <c r="D11" s="162">
        <f t="shared" si="2"/>
        <v>0.42859315770860623</v>
      </c>
      <c r="E11" s="461">
        <f t="shared" si="3"/>
        <v>0.70722839760049072</v>
      </c>
      <c r="F11" s="363">
        <f t="shared" si="4"/>
        <v>0.74079237463134662</v>
      </c>
      <c r="G11" s="162">
        <f t="shared" si="5"/>
        <v>0.76240789201848302</v>
      </c>
      <c r="H11" s="162">
        <f t="shared" si="6"/>
        <v>0.75703919065564584</v>
      </c>
      <c r="I11" s="162">
        <f t="shared" si="21"/>
        <v>0.89847117427678491</v>
      </c>
      <c r="J11" s="162">
        <f t="shared" si="22"/>
        <v>0.86665235110482763</v>
      </c>
      <c r="K11" s="316">
        <f t="shared" si="23"/>
        <v>0.6435758872561359</v>
      </c>
      <c r="L11" s="339">
        <f t="shared" si="7"/>
        <v>0.62973545388405527</v>
      </c>
      <c r="M11" s="273">
        <f t="shared" si="24"/>
        <v>0.61535757764804411</v>
      </c>
      <c r="N11" s="316">
        <f t="shared" si="25"/>
        <v>0.60042138891026475</v>
      </c>
      <c r="O11" s="369">
        <f t="shared" si="8"/>
        <v>-11.346330339950994</v>
      </c>
      <c r="P11" s="369">
        <f t="shared" si="9"/>
        <v>-12.730373677159058</v>
      </c>
      <c r="Q11" s="369">
        <f t="shared" si="10"/>
        <v>-14.168161300760174</v>
      </c>
      <c r="R11" s="369">
        <f t="shared" si="26"/>
        <v>-15.661780174538109</v>
      </c>
      <c r="S11" s="480">
        <v>0.65</v>
      </c>
      <c r="T11" s="480">
        <v>0.6</v>
      </c>
      <c r="U11" s="489">
        <v>0</v>
      </c>
      <c r="V11" s="490">
        <v>-0.01</v>
      </c>
      <c r="W11" s="480">
        <f t="shared" si="28"/>
        <v>0.6</v>
      </c>
      <c r="X11" s="480">
        <f t="shared" si="29"/>
        <v>0.59</v>
      </c>
      <c r="Y11" s="333">
        <f t="shared" si="11"/>
        <v>-6.4241127438641188E-3</v>
      </c>
      <c r="Z11" s="333">
        <f t="shared" si="12"/>
        <v>2.9735453884055296E-2</v>
      </c>
      <c r="AA11" s="333">
        <f t="shared" si="13"/>
        <v>1.535757764804413E-2</v>
      </c>
      <c r="AB11" s="333">
        <f t="shared" si="14"/>
        <v>1.0421388910264784E-2</v>
      </c>
      <c r="AC11" s="329">
        <f t="shared" si="15"/>
        <v>122506288.32000001</v>
      </c>
      <c r="AD11" s="335">
        <f t="shared" si="16"/>
        <v>132502801.44691201</v>
      </c>
      <c r="AE11" s="335">
        <f t="shared" si="17"/>
        <v>143315030.04498005</v>
      </c>
      <c r="AF11" s="335">
        <f t="shared" si="27"/>
        <v>155009536.49665043</v>
      </c>
      <c r="AG11" s="337">
        <f t="shared" si="18"/>
        <v>79629087.408000007</v>
      </c>
      <c r="AH11" s="337">
        <f t="shared" si="19"/>
        <v>79501680.868147194</v>
      </c>
      <c r="AI11" s="337">
        <f t="shared" si="20"/>
        <v>85989018.026988029</v>
      </c>
      <c r="AJ11" s="337">
        <f t="shared" si="20"/>
        <v>91455626.533023745</v>
      </c>
      <c r="AU11"/>
    </row>
    <row r="12" spans="1:47" x14ac:dyDescent="0.35">
      <c r="A12" s="56" t="s">
        <v>79</v>
      </c>
      <c r="B12" s="162">
        <f t="shared" si="0"/>
        <v>0.45529231957856892</v>
      </c>
      <c r="C12" s="162">
        <f t="shared" si="1"/>
        <v>0.45069473358796497</v>
      </c>
      <c r="D12" s="162">
        <f t="shared" si="2"/>
        <v>0.43026674986588265</v>
      </c>
      <c r="E12" s="461">
        <f t="shared" si="3"/>
        <v>0.77993416560619644</v>
      </c>
      <c r="F12" s="363">
        <f t="shared" si="4"/>
        <v>0.80417651593902584</v>
      </c>
      <c r="G12" s="162">
        <f t="shared" si="5"/>
        <v>0.95388073326103684</v>
      </c>
      <c r="H12" s="162">
        <f t="shared" si="6"/>
        <v>0.83698876631945729</v>
      </c>
      <c r="I12" s="162">
        <f t="shared" si="21"/>
        <v>0.87071253116419389</v>
      </c>
      <c r="J12" s="162">
        <f t="shared" si="22"/>
        <v>0.89025545799779171</v>
      </c>
      <c r="K12" s="316">
        <f t="shared" si="23"/>
        <v>0.64064490574593613</v>
      </c>
      <c r="L12" s="339">
        <f t="shared" si="7"/>
        <v>0.63010203902083706</v>
      </c>
      <c r="M12" s="273">
        <f t="shared" si="24"/>
        <v>0.61924986253344283</v>
      </c>
      <c r="N12" s="316">
        <f t="shared" si="25"/>
        <v>0.60807930166187485</v>
      </c>
      <c r="O12" s="369">
        <f t="shared" si="8"/>
        <v>-19.634386057352117</v>
      </c>
      <c r="P12" s="369">
        <f t="shared" si="9"/>
        <v>-20.688672729862024</v>
      </c>
      <c r="Q12" s="369">
        <f t="shared" si="10"/>
        <v>-21.773890378601447</v>
      </c>
      <c r="R12" s="369">
        <f t="shared" si="26"/>
        <v>-22.890946465758244</v>
      </c>
      <c r="S12" s="480">
        <v>0.65</v>
      </c>
      <c r="T12" s="480">
        <v>0.6</v>
      </c>
      <c r="U12" s="489">
        <v>0</v>
      </c>
      <c r="V12" s="490">
        <v>-0.01</v>
      </c>
      <c r="W12" s="480">
        <f t="shared" si="28"/>
        <v>0.6</v>
      </c>
      <c r="X12" s="480">
        <f t="shared" si="29"/>
        <v>0.59</v>
      </c>
      <c r="Y12" s="333">
        <f t="shared" si="11"/>
        <v>-9.3550942540638893E-3</v>
      </c>
      <c r="Z12" s="333">
        <f t="shared" si="12"/>
        <v>3.0102039020837079E-2</v>
      </c>
      <c r="AA12" s="333">
        <f t="shared" si="13"/>
        <v>1.9249862533442852E-2</v>
      </c>
      <c r="AB12" s="333">
        <f t="shared" si="14"/>
        <v>1.807930166187488E-2</v>
      </c>
      <c r="AC12" s="329">
        <f t="shared" si="15"/>
        <v>11275309.060000001</v>
      </c>
      <c r="AD12" s="335">
        <f t="shared" si="16"/>
        <v>11961975.381754</v>
      </c>
      <c r="AE12" s="335">
        <f t="shared" si="17"/>
        <v>12690459.682502817</v>
      </c>
      <c r="AF12" s="335">
        <f t="shared" si="27"/>
        <v>13463308.677167241</v>
      </c>
      <c r="AG12" s="337">
        <f t="shared" si="18"/>
        <v>7328950.8890000004</v>
      </c>
      <c r="AH12" s="337">
        <f t="shared" si="19"/>
        <v>7177185.2290523993</v>
      </c>
      <c r="AI12" s="337">
        <f t="shared" si="20"/>
        <v>7614275.8095016899</v>
      </c>
      <c r="AJ12" s="337">
        <f t="shared" si="20"/>
        <v>7943352.1195286717</v>
      </c>
      <c r="AU12"/>
    </row>
    <row r="13" spans="1:47" x14ac:dyDescent="0.35">
      <c r="A13" s="56" t="s">
        <v>80</v>
      </c>
      <c r="B13" s="162">
        <f t="shared" si="0"/>
        <v>0.78484674069128024</v>
      </c>
      <c r="C13" s="162">
        <f t="shared" si="1"/>
        <v>0.77761745056908027</v>
      </c>
      <c r="D13" s="162">
        <f t="shared" si="2"/>
        <v>0.53438626373912768</v>
      </c>
      <c r="E13" s="461">
        <f t="shared" si="3"/>
        <v>0.85295559258896192</v>
      </c>
      <c r="F13" s="363">
        <f t="shared" si="4"/>
        <v>0.90278063541609166</v>
      </c>
      <c r="G13" s="162">
        <f t="shared" si="5"/>
        <v>0.82120014564606536</v>
      </c>
      <c r="H13" s="162">
        <f t="shared" si="6"/>
        <v>0.86284137532156913</v>
      </c>
      <c r="I13" s="162">
        <f t="shared" si="21"/>
        <v>0.88873678644511245</v>
      </c>
      <c r="J13" s="162">
        <f t="shared" si="22"/>
        <v>0.87613785401229238</v>
      </c>
      <c r="K13" s="316">
        <f t="shared" si="23"/>
        <v>0.58339207428873241</v>
      </c>
      <c r="L13" s="339">
        <f t="shared" si="7"/>
        <v>0.57925703336350298</v>
      </c>
      <c r="M13" s="273">
        <f t="shared" si="24"/>
        <v>0.5750809500999069</v>
      </c>
      <c r="N13" s="316">
        <f t="shared" si="25"/>
        <v>0.57086341713231703</v>
      </c>
      <c r="O13" s="369">
        <f t="shared" si="8"/>
        <v>-27.944930103283671</v>
      </c>
      <c r="P13" s="369">
        <f t="shared" si="9"/>
        <v>-28.358434195806616</v>
      </c>
      <c r="Q13" s="369">
        <f t="shared" si="10"/>
        <v>-28.776042522166222</v>
      </c>
      <c r="R13" s="369">
        <f t="shared" si="26"/>
        <v>-29.197795818925208</v>
      </c>
      <c r="S13" s="480">
        <v>0.6</v>
      </c>
      <c r="T13" s="480">
        <v>0.5</v>
      </c>
      <c r="U13" s="489">
        <v>0</v>
      </c>
      <c r="V13" s="490">
        <v>-0.01</v>
      </c>
      <c r="W13" s="480">
        <f t="shared" si="28"/>
        <v>0.5</v>
      </c>
      <c r="X13" s="480">
        <f t="shared" si="29"/>
        <v>0.49</v>
      </c>
      <c r="Y13" s="333">
        <f t="shared" si="11"/>
        <v>-1.6607925711267568E-2</v>
      </c>
      <c r="Z13" s="333">
        <f t="shared" si="12"/>
        <v>7.9257033363502982E-2</v>
      </c>
      <c r="AA13" s="333">
        <f t="shared" si="13"/>
        <v>7.5080950099906896E-2</v>
      </c>
      <c r="AB13" s="333">
        <f t="shared" si="14"/>
        <v>8.0863417132317039E-2</v>
      </c>
      <c r="AC13" s="329">
        <f t="shared" si="15"/>
        <v>1005856.98</v>
      </c>
      <c r="AD13" s="335">
        <f t="shared" si="16"/>
        <v>1026074.7052979999</v>
      </c>
      <c r="AE13" s="335">
        <f t="shared" si="17"/>
        <v>1046698.8068744898</v>
      </c>
      <c r="AF13" s="335">
        <f t="shared" si="27"/>
        <v>1067737.4528926669</v>
      </c>
      <c r="AG13" s="337">
        <f t="shared" si="18"/>
        <v>603514.18799999997</v>
      </c>
      <c r="AH13" s="337">
        <f t="shared" si="19"/>
        <v>513037.35264899995</v>
      </c>
      <c r="AI13" s="337">
        <f t="shared" si="20"/>
        <v>523349.40343724488</v>
      </c>
      <c r="AJ13" s="337">
        <f t="shared" si="20"/>
        <v>523191.35191740678</v>
      </c>
      <c r="AU13"/>
    </row>
    <row r="14" spans="1:47" x14ac:dyDescent="0.35">
      <c r="A14" s="56" t="s">
        <v>81</v>
      </c>
      <c r="B14" s="162">
        <f t="shared" si="0"/>
        <v>0.5444240011183068</v>
      </c>
      <c r="C14" s="162">
        <f t="shared" si="1"/>
        <v>0.53307601179637887</v>
      </c>
      <c r="D14" s="162">
        <f t="shared" si="2"/>
        <v>0.52579094896820433</v>
      </c>
      <c r="E14" s="461">
        <f t="shared" si="3"/>
        <v>0.82164640926191812</v>
      </c>
      <c r="F14" s="363">
        <f t="shared" si="4"/>
        <v>0.84225171874389781</v>
      </c>
      <c r="G14" s="162">
        <f t="shared" si="5"/>
        <v>0.87043238422777125</v>
      </c>
      <c r="H14" s="162">
        <f t="shared" si="6"/>
        <v>0.90902878042632129</v>
      </c>
      <c r="I14" s="162">
        <f t="shared" si="21"/>
        <v>0.93397591917929812</v>
      </c>
      <c r="J14" s="162">
        <f t="shared" si="22"/>
        <v>0.95489145176035206</v>
      </c>
      <c r="K14" s="316">
        <f t="shared" si="23"/>
        <v>0.76422725263523084</v>
      </c>
      <c r="L14" s="339">
        <f t="shared" si="7"/>
        <v>0.75958159584843943</v>
      </c>
      <c r="M14" s="273">
        <f t="shared" si="24"/>
        <v>0.75484440122607588</v>
      </c>
      <c r="N14" s="316">
        <f t="shared" si="25"/>
        <v>0.75001386511028822</v>
      </c>
      <c r="O14" s="369">
        <f t="shared" si="8"/>
        <v>-14.480152779109046</v>
      </c>
      <c r="P14" s="369">
        <f t="shared" si="9"/>
        <v>-14.944718457788186</v>
      </c>
      <c r="Q14" s="369">
        <f t="shared" si="10"/>
        <v>-15.418437920024541</v>
      </c>
      <c r="R14" s="369">
        <f t="shared" si="26"/>
        <v>-15.901491531603307</v>
      </c>
      <c r="S14" s="480">
        <v>0.75</v>
      </c>
      <c r="T14" s="480">
        <v>0.7</v>
      </c>
      <c r="U14" s="489">
        <v>0</v>
      </c>
      <c r="V14" s="490">
        <v>-0.01</v>
      </c>
      <c r="W14" s="480">
        <f t="shared" si="28"/>
        <v>0.7</v>
      </c>
      <c r="X14" s="480">
        <f t="shared" si="29"/>
        <v>0.69</v>
      </c>
      <c r="Y14" s="333">
        <f t="shared" si="11"/>
        <v>1.4227252635230836E-2</v>
      </c>
      <c r="Z14" s="333">
        <f t="shared" si="12"/>
        <v>5.9581595848439473E-2</v>
      </c>
      <c r="AA14" s="333">
        <f t="shared" si="13"/>
        <v>5.4844401226075923E-2</v>
      </c>
      <c r="AB14" s="333">
        <f t="shared" si="14"/>
        <v>6.0013865110288278E-2</v>
      </c>
      <c r="AC14" s="329">
        <f t="shared" si="15"/>
        <v>8108773.5600000005</v>
      </c>
      <c r="AD14" s="335">
        <f t="shared" si="16"/>
        <v>8436368.0118239988</v>
      </c>
      <c r="AE14" s="335">
        <f t="shared" si="17"/>
        <v>8777197.2795016896</v>
      </c>
      <c r="AF14" s="335">
        <f t="shared" si="27"/>
        <v>9131796.0495935567</v>
      </c>
      <c r="AG14" s="337">
        <f t="shared" si="18"/>
        <v>6081580.1699999999</v>
      </c>
      <c r="AH14" s="337">
        <f t="shared" si="19"/>
        <v>5905457.6082767984</v>
      </c>
      <c r="AI14" s="337">
        <f t="shared" si="20"/>
        <v>6144038.0956511823</v>
      </c>
      <c r="AJ14" s="337">
        <f t="shared" si="20"/>
        <v>6300939.2742195539</v>
      </c>
      <c r="AU14"/>
    </row>
    <row r="15" spans="1:47" x14ac:dyDescent="0.35">
      <c r="A15" s="56" t="s">
        <v>82</v>
      </c>
      <c r="B15" s="162">
        <f t="shared" si="0"/>
        <v>0.4816516971966337</v>
      </c>
      <c r="C15" s="162">
        <f t="shared" si="1"/>
        <v>0.50622259074956455</v>
      </c>
      <c r="D15" s="162">
        <f t="shared" si="2"/>
        <v>0.50183839067280112</v>
      </c>
      <c r="E15" s="461">
        <f t="shared" si="3"/>
        <v>0.73209803416809538</v>
      </c>
      <c r="F15" s="363">
        <f t="shared" si="4"/>
        <v>0.7507978880940529</v>
      </c>
      <c r="G15" s="162">
        <f t="shared" si="5"/>
        <v>0.76803476698910855</v>
      </c>
      <c r="H15" s="162">
        <f t="shared" si="6"/>
        <v>0.8192116317399829</v>
      </c>
      <c r="I15" s="162">
        <f t="shared" si="21"/>
        <v>0.89563672681834117</v>
      </c>
      <c r="J15" s="162">
        <f t="shared" si="22"/>
        <v>0.89272332231592599</v>
      </c>
      <c r="K15" s="316">
        <f t="shared" si="23"/>
        <v>0.73509719449829924</v>
      </c>
      <c r="L15" s="339">
        <f t="shared" si="7"/>
        <v>0.72481065804205713</v>
      </c>
      <c r="M15" s="273">
        <f t="shared" si="24"/>
        <v>0.71412468137579099</v>
      </c>
      <c r="N15" s="316">
        <f t="shared" si="25"/>
        <v>0.70302375369252823</v>
      </c>
      <c r="O15" s="369">
        <f t="shared" si="8"/>
        <v>-8.4114437241683664</v>
      </c>
      <c r="P15" s="369">
        <f t="shared" si="9"/>
        <v>-9.4400973697925767</v>
      </c>
      <c r="Q15" s="369">
        <f t="shared" si="10"/>
        <v>-10.508695036419191</v>
      </c>
      <c r="R15" s="369">
        <f t="shared" si="26"/>
        <v>-11.618787804745468</v>
      </c>
      <c r="S15" s="480">
        <v>0.7</v>
      </c>
      <c r="T15" s="480">
        <v>0.65</v>
      </c>
      <c r="U15" s="489">
        <v>0</v>
      </c>
      <c r="V15" s="490">
        <v>-0.01</v>
      </c>
      <c r="W15" s="480">
        <f t="shared" si="28"/>
        <v>0.65</v>
      </c>
      <c r="X15" s="480">
        <f t="shared" si="29"/>
        <v>0.64</v>
      </c>
      <c r="Y15" s="333">
        <f t="shared" si="11"/>
        <v>3.5097194498299289E-2</v>
      </c>
      <c r="Z15" s="333">
        <f t="shared" si="12"/>
        <v>7.481065804205711E-2</v>
      </c>
      <c r="AA15" s="333">
        <f t="shared" si="13"/>
        <v>6.4124681375790971E-2</v>
      </c>
      <c r="AB15" s="333">
        <f t="shared" si="14"/>
        <v>6.3023753692528217E-2</v>
      </c>
      <c r="AC15" s="329">
        <f t="shared" si="15"/>
        <v>84615690.640000001</v>
      </c>
      <c r="AD15" s="335">
        <f t="shared" si="16"/>
        <v>91520330.996224001</v>
      </c>
      <c r="AE15" s="335">
        <f t="shared" si="17"/>
        <v>98988390.005515903</v>
      </c>
      <c r="AF15" s="335">
        <f t="shared" si="27"/>
        <v>107065842.62996599</v>
      </c>
      <c r="AG15" s="337">
        <f t="shared" si="18"/>
        <v>59230983.447999999</v>
      </c>
      <c r="AH15" s="337">
        <f t="shared" si="19"/>
        <v>59488215.147545606</v>
      </c>
      <c r="AI15" s="337">
        <f t="shared" si="20"/>
        <v>64342453.503585339</v>
      </c>
      <c r="AJ15" s="337">
        <f t="shared" si="20"/>
        <v>68522139.28317824</v>
      </c>
      <c r="AU15"/>
    </row>
    <row r="16" spans="1:47" x14ac:dyDescent="0.35">
      <c r="A16" s="56" t="s">
        <v>83</v>
      </c>
      <c r="B16" s="162">
        <f t="shared" si="0"/>
        <v>0.90293787208944198</v>
      </c>
      <c r="C16" s="162">
        <f t="shared" si="1"/>
        <v>0.9076419739611602</v>
      </c>
      <c r="D16" s="162">
        <f t="shared" si="2"/>
        <v>0.94280115005133602</v>
      </c>
      <c r="E16" s="461">
        <f t="shared" si="3"/>
        <v>0.96709485985289645</v>
      </c>
      <c r="F16" s="363">
        <f t="shared" si="4"/>
        <v>0.98342432371211386</v>
      </c>
      <c r="G16" s="162">
        <f t="shared" si="5"/>
        <v>0.99280415472762951</v>
      </c>
      <c r="H16" s="162">
        <f t="shared" si="6"/>
        <v>0.90126303751879999</v>
      </c>
      <c r="I16" s="162">
        <f t="shared" si="21"/>
        <v>0.9242628150502149</v>
      </c>
      <c r="J16" s="162">
        <f t="shared" si="22"/>
        <v>0.95629062501305651</v>
      </c>
      <c r="K16" s="316">
        <f t="shared" si="23"/>
        <v>0.81864980190459924</v>
      </c>
      <c r="L16" s="339">
        <f t="shared" si="7"/>
        <v>0.81684981096673448</v>
      </c>
      <c r="M16" s="273">
        <f t="shared" si="24"/>
        <v>0.81503195422331542</v>
      </c>
      <c r="N16" s="316">
        <f t="shared" si="25"/>
        <v>0.81319605434733377</v>
      </c>
      <c r="O16" s="369">
        <f t="shared" si="8"/>
        <v>-8.2613235614200757</v>
      </c>
      <c r="P16" s="369">
        <f t="shared" si="9"/>
        <v>-8.4413226552065517</v>
      </c>
      <c r="Q16" s="369">
        <f t="shared" si="10"/>
        <v>-8.6231083295484563</v>
      </c>
      <c r="R16" s="369">
        <f t="shared" si="26"/>
        <v>-8.8066983171466227</v>
      </c>
      <c r="S16" s="480">
        <v>0.8</v>
      </c>
      <c r="T16" s="480">
        <v>0.75</v>
      </c>
      <c r="U16" s="489">
        <v>0</v>
      </c>
      <c r="V16" s="490">
        <v>0</v>
      </c>
      <c r="W16" s="480">
        <f t="shared" si="28"/>
        <v>0.75</v>
      </c>
      <c r="X16" s="480">
        <f t="shared" si="29"/>
        <v>0.75</v>
      </c>
      <c r="Y16" s="333">
        <f t="shared" si="11"/>
        <v>1.8649801904599195E-2</v>
      </c>
      <c r="Z16" s="333">
        <f t="shared" si="12"/>
        <v>6.684981096673448E-2</v>
      </c>
      <c r="AA16" s="333">
        <f t="shared" si="13"/>
        <v>6.5031954223315425E-2</v>
      </c>
      <c r="AB16" s="333">
        <f t="shared" si="14"/>
        <v>6.3196054347333774E-2</v>
      </c>
      <c r="AC16" s="329">
        <f t="shared" si="15"/>
        <v>2886291.14</v>
      </c>
      <c r="AD16" s="335">
        <f t="shared" si="16"/>
        <v>2944305.5919139995</v>
      </c>
      <c r="AE16" s="335">
        <f t="shared" si="17"/>
        <v>3003486.1343114711</v>
      </c>
      <c r="AF16" s="335">
        <f t="shared" si="27"/>
        <v>3063856.2056111316</v>
      </c>
      <c r="AG16" s="337">
        <f t="shared" si="18"/>
        <v>2309032.912</v>
      </c>
      <c r="AH16" s="337">
        <f t="shared" si="19"/>
        <v>2208229.1939354995</v>
      </c>
      <c r="AI16" s="337">
        <f t="shared" si="20"/>
        <v>2252614.6007336034</v>
      </c>
      <c r="AJ16" s="337">
        <f t="shared" si="20"/>
        <v>2297892.1542083486</v>
      </c>
      <c r="AU16"/>
    </row>
    <row r="17" spans="1:36" customFormat="1" x14ac:dyDescent="0.35">
      <c r="A17" s="56" t="s">
        <v>84</v>
      </c>
      <c r="B17" s="162">
        <f t="shared" si="0"/>
        <v>0.85264477980045661</v>
      </c>
      <c r="C17" s="162">
        <f t="shared" si="1"/>
        <v>0.82844357174166305</v>
      </c>
      <c r="D17" s="162">
        <f t="shared" si="2"/>
        <v>0.83798443254567301</v>
      </c>
      <c r="E17" s="461">
        <f t="shared" si="3"/>
        <v>0.89201041350206145</v>
      </c>
      <c r="F17" s="363">
        <f t="shared" si="4"/>
        <v>0.90970649320506458</v>
      </c>
      <c r="G17" s="162">
        <f t="shared" si="5"/>
        <v>0.95337771119207326</v>
      </c>
      <c r="H17" s="162">
        <f t="shared" si="6"/>
        <v>0.88306458504814977</v>
      </c>
      <c r="I17" s="162">
        <f t="shared" si="21"/>
        <v>0.88253506845248519</v>
      </c>
      <c r="J17" s="162">
        <f t="shared" si="22"/>
        <v>0.89607049329069977</v>
      </c>
      <c r="K17" s="316">
        <f t="shared" si="23"/>
        <v>0.81038560318809671</v>
      </c>
      <c r="L17" s="339">
        <f t="shared" si="7"/>
        <v>0.80482263957157263</v>
      </c>
      <c r="M17" s="273">
        <f t="shared" si="24"/>
        <v>0.79909646807252954</v>
      </c>
      <c r="N17" s="316">
        <f t="shared" si="25"/>
        <v>0.79320230044952789</v>
      </c>
      <c r="O17" s="369">
        <f t="shared" si="8"/>
        <v>-7.267898186005306</v>
      </c>
      <c r="P17" s="369">
        <f t="shared" si="9"/>
        <v>-7.824194547657715</v>
      </c>
      <c r="Q17" s="369">
        <f t="shared" si="10"/>
        <v>-8.3968116975620237</v>
      </c>
      <c r="R17" s="369">
        <f t="shared" si="26"/>
        <v>-8.9862284598621898</v>
      </c>
      <c r="S17" s="480">
        <v>0.8</v>
      </c>
      <c r="T17" s="480">
        <v>0.75</v>
      </c>
      <c r="U17" s="489">
        <v>0</v>
      </c>
      <c r="V17" s="490">
        <v>0</v>
      </c>
      <c r="W17" s="480">
        <f t="shared" si="28"/>
        <v>0.75</v>
      </c>
      <c r="X17" s="480">
        <f t="shared" si="29"/>
        <v>0.75</v>
      </c>
      <c r="Y17" s="333">
        <f t="shared" si="11"/>
        <v>1.038560318809667E-2</v>
      </c>
      <c r="Z17" s="333">
        <f t="shared" si="12"/>
        <v>5.4822639571572629E-2</v>
      </c>
      <c r="AA17" s="333">
        <f t="shared" si="13"/>
        <v>4.9096468072529542E-2</v>
      </c>
      <c r="AB17" s="333">
        <f t="shared" si="14"/>
        <v>4.3202300449527886E-2</v>
      </c>
      <c r="AC17" s="329">
        <f t="shared" si="15"/>
        <v>2289968.1</v>
      </c>
      <c r="AD17" s="335">
        <f t="shared" si="16"/>
        <v>2429427.15729</v>
      </c>
      <c r="AE17" s="335">
        <f t="shared" si="17"/>
        <v>2577379.2711689607</v>
      </c>
      <c r="AF17" s="335">
        <f t="shared" si="27"/>
        <v>2734341.6687831506</v>
      </c>
      <c r="AG17" s="337">
        <f t="shared" si="18"/>
        <v>1831974.4800000002</v>
      </c>
      <c r="AH17" s="337">
        <f t="shared" si="19"/>
        <v>1822070.3679674999</v>
      </c>
      <c r="AI17" s="337">
        <f t="shared" si="20"/>
        <v>1933034.4533767207</v>
      </c>
      <c r="AJ17" s="337">
        <f t="shared" si="20"/>
        <v>2050756.251587363</v>
      </c>
    </row>
    <row r="18" spans="1:36" customFormat="1" x14ac:dyDescent="0.35">
      <c r="A18" s="56" t="s">
        <v>85</v>
      </c>
      <c r="B18" s="162">
        <f t="shared" si="0"/>
        <v>0.75036037293750801</v>
      </c>
      <c r="C18" s="162">
        <f t="shared" si="1"/>
        <v>0.74505505747747336</v>
      </c>
      <c r="D18" s="162">
        <f t="shared" si="2"/>
        <v>0.77495112454361548</v>
      </c>
      <c r="E18" s="461">
        <f t="shared" si="3"/>
        <v>0.96333330776095971</v>
      </c>
      <c r="F18" s="363">
        <f t="shared" si="4"/>
        <v>0.96398660408670389</v>
      </c>
      <c r="G18" s="162">
        <f t="shared" si="5"/>
        <v>0.95949989414706105</v>
      </c>
      <c r="H18" s="162">
        <f t="shared" si="6"/>
        <v>0.95839083708721817</v>
      </c>
      <c r="I18" s="162">
        <f t="shared" si="21"/>
        <v>0.95852890271029101</v>
      </c>
      <c r="J18" s="162">
        <f t="shared" si="22"/>
        <v>0.95711001670851104</v>
      </c>
      <c r="K18" s="316">
        <f t="shared" si="23"/>
        <v>0.88861838593312736</v>
      </c>
      <c r="L18" s="339">
        <f t="shared" si="7"/>
        <v>0.88642372706310535</v>
      </c>
      <c r="M18" s="273">
        <f t="shared" si="24"/>
        <v>0.8841858247224611</v>
      </c>
      <c r="N18" s="316">
        <f t="shared" si="25"/>
        <v>0.88190382684357826</v>
      </c>
      <c r="O18" s="369">
        <f t="shared" si="8"/>
        <v>-6.9772451154090813</v>
      </c>
      <c r="P18" s="369">
        <f t="shared" si="9"/>
        <v>-7.1967110024112824</v>
      </c>
      <c r="Q18" s="369">
        <f t="shared" si="10"/>
        <v>-7.4205012364757073</v>
      </c>
      <c r="R18" s="369">
        <f t="shared" si="26"/>
        <v>-7.6487010243639908</v>
      </c>
      <c r="S18" s="480">
        <v>0.85</v>
      </c>
      <c r="T18" s="480">
        <v>0.85</v>
      </c>
      <c r="U18" s="489">
        <v>0</v>
      </c>
      <c r="V18" s="490">
        <v>0</v>
      </c>
      <c r="W18" s="480">
        <f t="shared" si="28"/>
        <v>0.85</v>
      </c>
      <c r="X18" s="480">
        <f t="shared" si="29"/>
        <v>0.85</v>
      </c>
      <c r="Y18" s="333">
        <f t="shared" si="11"/>
        <v>3.8618385933127386E-2</v>
      </c>
      <c r="Z18" s="333">
        <f t="shared" si="12"/>
        <v>3.6423727063105371E-2</v>
      </c>
      <c r="AA18" s="333">
        <f t="shared" si="13"/>
        <v>3.4185824722461122E-2</v>
      </c>
      <c r="AB18" s="333">
        <f t="shared" si="14"/>
        <v>3.1903826843578287E-2</v>
      </c>
      <c r="AC18" s="329">
        <f t="shared" si="15"/>
        <v>2396104.44</v>
      </c>
      <c r="AD18" s="335">
        <f t="shared" si="16"/>
        <v>2492907.059376</v>
      </c>
      <c r="AE18" s="335">
        <f t="shared" si="17"/>
        <v>2593620.5045747906</v>
      </c>
      <c r="AF18" s="335">
        <f t="shared" si="27"/>
        <v>2698402.7729596114</v>
      </c>
      <c r="AG18" s="337">
        <f t="shared" si="18"/>
        <v>2036688.774</v>
      </c>
      <c r="AH18" s="337">
        <f t="shared" si="19"/>
        <v>2118971.0004695999</v>
      </c>
      <c r="AI18" s="337">
        <f t="shared" si="20"/>
        <v>2204577.4288885719</v>
      </c>
      <c r="AJ18" s="337">
        <f t="shared" si="20"/>
        <v>2293642.3570156698</v>
      </c>
    </row>
    <row r="19" spans="1:36" customFormat="1" x14ac:dyDescent="0.35">
      <c r="A19" s="56" t="s">
        <v>86</v>
      </c>
      <c r="B19" s="162">
        <f t="shared" si="0"/>
        <v>0.83369736481275913</v>
      </c>
      <c r="C19" s="162">
        <f t="shared" si="1"/>
        <v>0.83695370632800248</v>
      </c>
      <c r="D19" s="162">
        <f t="shared" si="2"/>
        <v>0.8509185015392503</v>
      </c>
      <c r="E19" s="461">
        <f t="shared" si="3"/>
        <v>0.94797681338896667</v>
      </c>
      <c r="F19" s="363">
        <f t="shared" si="4"/>
        <v>0.94770756093146846</v>
      </c>
      <c r="G19" s="162">
        <f t="shared" si="5"/>
        <v>0.96676233829848157</v>
      </c>
      <c r="H19" s="162">
        <f t="shared" si="6"/>
        <v>0.92052679830648088</v>
      </c>
      <c r="I19" s="162">
        <f t="shared" si="21"/>
        <v>0.84420894232537935</v>
      </c>
      <c r="J19" s="162">
        <f t="shared" si="22"/>
        <v>0.95754463547033741</v>
      </c>
      <c r="K19" s="316">
        <f t="shared" si="23"/>
        <v>0.73971984051090012</v>
      </c>
      <c r="L19" s="339">
        <f t="shared" si="7"/>
        <v>0.73459129065553042</v>
      </c>
      <c r="M19" s="273">
        <f t="shared" si="24"/>
        <v>0.7293616880588738</v>
      </c>
      <c r="N19" s="316">
        <f t="shared" si="25"/>
        <v>0.72402904158175629</v>
      </c>
      <c r="O19" s="369">
        <f t="shared" si="8"/>
        <v>-18.080695779558077</v>
      </c>
      <c r="P19" s="369">
        <f t="shared" si="9"/>
        <v>-18.593550765095046</v>
      </c>
      <c r="Q19" s="369">
        <f t="shared" si="10"/>
        <v>-19.116511024760708</v>
      </c>
      <c r="R19" s="369">
        <f t="shared" si="26"/>
        <v>-19.649775672472458</v>
      </c>
      <c r="S19" s="480">
        <v>0.75</v>
      </c>
      <c r="T19" s="480">
        <v>0.7</v>
      </c>
      <c r="U19" s="489">
        <v>0</v>
      </c>
      <c r="V19" s="490">
        <v>0</v>
      </c>
      <c r="W19" s="480">
        <f t="shared" si="28"/>
        <v>0.7</v>
      </c>
      <c r="X19" s="480">
        <f t="shared" si="29"/>
        <v>0.7</v>
      </c>
      <c r="Y19" s="333">
        <f t="shared" si="11"/>
        <v>-1.0280159489099883E-2</v>
      </c>
      <c r="Z19" s="333">
        <f t="shared" si="12"/>
        <v>3.459129065553046E-2</v>
      </c>
      <c r="AA19" s="333">
        <f t="shared" si="13"/>
        <v>2.9361688058873847E-2</v>
      </c>
      <c r="AB19" s="333">
        <f t="shared" si="14"/>
        <v>2.4029041581756339E-2</v>
      </c>
      <c r="AC19" s="329">
        <f t="shared" si="15"/>
        <v>5063383.0200000005</v>
      </c>
      <c r="AD19" s="335">
        <f t="shared" si="16"/>
        <v>5267943.6940079993</v>
      </c>
      <c r="AE19" s="335">
        <f t="shared" si="17"/>
        <v>5480768.6192459231</v>
      </c>
      <c r="AF19" s="335">
        <f t="shared" si="27"/>
        <v>5702191.6714634579</v>
      </c>
      <c r="AG19" s="337">
        <f t="shared" si="18"/>
        <v>3797537.2650000006</v>
      </c>
      <c r="AH19" s="337">
        <f t="shared" si="19"/>
        <v>3687560.5858055991</v>
      </c>
      <c r="AI19" s="337">
        <f t="shared" si="20"/>
        <v>3836538.0334721459</v>
      </c>
      <c r="AJ19" s="337">
        <f t="shared" si="20"/>
        <v>3991534.1700244201</v>
      </c>
    </row>
    <row r="20" spans="1:36" customFormat="1" x14ac:dyDescent="0.35">
      <c r="A20" s="56" t="s">
        <v>87</v>
      </c>
      <c r="B20" s="162">
        <f t="shared" si="0"/>
        <v>0.84442464631586212</v>
      </c>
      <c r="C20" s="162">
        <f t="shared" si="1"/>
        <v>0.89669064383020003</v>
      </c>
      <c r="D20" s="162">
        <f t="shared" si="2"/>
        <v>0.87435288344246131</v>
      </c>
      <c r="E20" s="461">
        <f t="shared" si="3"/>
        <v>0.96610452667257718</v>
      </c>
      <c r="F20" s="363">
        <f t="shared" si="4"/>
        <v>0.97374619270868346</v>
      </c>
      <c r="G20" s="162">
        <f t="shared" si="5"/>
        <v>0.9875828236288694</v>
      </c>
      <c r="H20" s="162">
        <f t="shared" si="6"/>
        <v>0.96114000471388683</v>
      </c>
      <c r="I20" s="162">
        <f t="shared" si="21"/>
        <v>0.95644332850585911</v>
      </c>
      <c r="J20" s="162">
        <f t="shared" si="22"/>
        <v>0.97121319577388665</v>
      </c>
      <c r="K20" s="316">
        <f t="shared" si="23"/>
        <v>0.91756979710864106</v>
      </c>
      <c r="L20" s="339">
        <f t="shared" si="7"/>
        <v>0.9151514352790685</v>
      </c>
      <c r="M20" s="273">
        <f t="shared" si="24"/>
        <v>0.91266212283026182</v>
      </c>
      <c r="N20" s="316">
        <f t="shared" si="25"/>
        <v>0.91009977819183407</v>
      </c>
      <c r="O20" s="369">
        <f t="shared" si="8"/>
        <v>-4.357020760524577</v>
      </c>
      <c r="P20" s="369">
        <f t="shared" si="9"/>
        <v>-4.5988569434818327</v>
      </c>
      <c r="Q20" s="369">
        <f t="shared" si="10"/>
        <v>-4.8477881883625003</v>
      </c>
      <c r="R20" s="369">
        <f t="shared" si="26"/>
        <v>-5.1040226522052752</v>
      </c>
      <c r="S20" s="480">
        <v>0.9</v>
      </c>
      <c r="T20" s="480">
        <v>0.85</v>
      </c>
      <c r="U20" s="489">
        <v>0</v>
      </c>
      <c r="V20" s="490">
        <v>0</v>
      </c>
      <c r="W20" s="480">
        <f t="shared" si="28"/>
        <v>0.85</v>
      </c>
      <c r="X20" s="480">
        <f t="shared" si="29"/>
        <v>0.85</v>
      </c>
      <c r="Y20" s="333">
        <f t="shared" si="11"/>
        <v>1.7569797108641039E-2</v>
      </c>
      <c r="Z20" s="333">
        <f t="shared" si="12"/>
        <v>6.5151435279068526E-2</v>
      </c>
      <c r="AA20" s="333">
        <f t="shared" si="13"/>
        <v>6.2662122830261846E-2</v>
      </c>
      <c r="AB20" s="333">
        <f t="shared" si="14"/>
        <v>6.0099778191834097E-2</v>
      </c>
      <c r="AC20" s="329">
        <f t="shared" si="15"/>
        <v>5886479.8700000001</v>
      </c>
      <c r="AD20" s="335">
        <f t="shared" si="16"/>
        <v>6244966.4940830003</v>
      </c>
      <c r="AE20" s="335">
        <f t="shared" si="17"/>
        <v>6625284.9535726542</v>
      </c>
      <c r="AF20" s="335">
        <f t="shared" si="27"/>
        <v>7028764.8072452294</v>
      </c>
      <c r="AG20" s="337">
        <f t="shared" si="18"/>
        <v>5297831.8830000004</v>
      </c>
      <c r="AH20" s="337">
        <f t="shared" si="19"/>
        <v>5308221.5199705502</v>
      </c>
      <c r="AI20" s="337">
        <f t="shared" si="20"/>
        <v>5631492.2105367556</v>
      </c>
      <c r="AJ20" s="337">
        <f t="shared" si="20"/>
        <v>5974450.0861584451</v>
      </c>
    </row>
    <row r="21" spans="1:36" customFormat="1" x14ac:dyDescent="0.35">
      <c r="A21" s="56" t="s">
        <v>88</v>
      </c>
      <c r="B21" s="162">
        <f t="shared" si="0"/>
        <v>0.89886119835787848</v>
      </c>
      <c r="C21" s="162">
        <f t="shared" si="1"/>
        <v>0.91393869326271349</v>
      </c>
      <c r="D21" s="162">
        <f t="shared" si="2"/>
        <v>0.90559009060871065</v>
      </c>
      <c r="E21" s="461">
        <f t="shared" si="3"/>
        <v>0.99626477259161994</v>
      </c>
      <c r="F21" s="363">
        <f t="shared" si="4"/>
        <v>0.99685170907221798</v>
      </c>
      <c r="G21" s="162">
        <f t="shared" si="5"/>
        <v>0.97136258197299874</v>
      </c>
      <c r="H21" s="162">
        <f t="shared" si="6"/>
        <v>0.99436100296103314</v>
      </c>
      <c r="I21" s="162">
        <f t="shared" si="21"/>
        <v>0.93055294488628948</v>
      </c>
      <c r="J21" s="162">
        <f t="shared" si="22"/>
        <v>0.98805279536657153</v>
      </c>
      <c r="K21" s="316">
        <f t="shared" si="23"/>
        <v>0.93921605786768836</v>
      </c>
      <c r="L21" s="339">
        <f t="shared" si="7"/>
        <v>0.93861274700199904</v>
      </c>
      <c r="M21" s="273">
        <f t="shared" si="24"/>
        <v>0.93800344797582036</v>
      </c>
      <c r="N21" s="316">
        <f t="shared" si="25"/>
        <v>0.93738810135368056</v>
      </c>
      <c r="O21" s="369">
        <f t="shared" si="8"/>
        <v>-5.5144945093344777</v>
      </c>
      <c r="P21" s="369">
        <f t="shared" si="9"/>
        <v>-5.5748255959034099</v>
      </c>
      <c r="Q21" s="369">
        <f t="shared" si="10"/>
        <v>-5.6357554985212772</v>
      </c>
      <c r="R21" s="369">
        <f t="shared" si="26"/>
        <v>-5.6972901607352577</v>
      </c>
      <c r="S21" s="480">
        <v>0.9</v>
      </c>
      <c r="T21" s="480">
        <v>0.9</v>
      </c>
      <c r="U21" s="489">
        <v>0</v>
      </c>
      <c r="V21" s="491">
        <v>0</v>
      </c>
      <c r="W21" s="480">
        <f t="shared" si="28"/>
        <v>0.9</v>
      </c>
      <c r="X21" s="480">
        <f t="shared" si="29"/>
        <v>0.9</v>
      </c>
      <c r="Y21" s="333">
        <f t="shared" si="11"/>
        <v>3.9216057867688336E-2</v>
      </c>
      <c r="Z21" s="333">
        <f t="shared" si="12"/>
        <v>3.8612747001999015E-2</v>
      </c>
      <c r="AA21" s="333">
        <f t="shared" si="13"/>
        <v>3.8003447975820337E-2</v>
      </c>
      <c r="AB21" s="333">
        <f t="shared" si="14"/>
        <v>3.7388101353680536E-2</v>
      </c>
      <c r="AC21" s="329">
        <f t="shared" si="15"/>
        <v>1263082.77</v>
      </c>
      <c r="AD21" s="335">
        <f t="shared" si="16"/>
        <v>1288470.7336769998</v>
      </c>
      <c r="AE21" s="335">
        <f t="shared" si="17"/>
        <v>1314368.9954239076</v>
      </c>
      <c r="AF21" s="335">
        <f t="shared" si="27"/>
        <v>1340787.8122319281</v>
      </c>
      <c r="AG21" s="337">
        <f t="shared" si="18"/>
        <v>1136774.493</v>
      </c>
      <c r="AH21" s="337">
        <f t="shared" si="19"/>
        <v>1159623.6603092998</v>
      </c>
      <c r="AI21" s="337">
        <f t="shared" si="20"/>
        <v>1182932.0958815168</v>
      </c>
      <c r="AJ21" s="337">
        <f t="shared" si="20"/>
        <v>1206709.0310087353</v>
      </c>
    </row>
    <row r="22" spans="1:36" customFormat="1" x14ac:dyDescent="0.35">
      <c r="A22" s="56" t="s">
        <v>89</v>
      </c>
      <c r="B22" s="162">
        <f t="shared" si="0"/>
        <v>0.47297937394215739</v>
      </c>
      <c r="C22" s="162">
        <f t="shared" si="1"/>
        <v>0.4736518867082618</v>
      </c>
      <c r="D22" s="162">
        <f t="shared" si="2"/>
        <v>0.43726177021655394</v>
      </c>
      <c r="E22" s="461">
        <f t="shared" si="3"/>
        <v>0.74749660437524035</v>
      </c>
      <c r="F22" s="363">
        <f t="shared" si="4"/>
        <v>0.76067938520482359</v>
      </c>
      <c r="G22" s="162">
        <f t="shared" si="5"/>
        <v>0.75351467684638662</v>
      </c>
      <c r="H22" s="162">
        <f t="shared" si="6"/>
        <v>0.76031622525947407</v>
      </c>
      <c r="I22" s="162">
        <f t="shared" si="21"/>
        <v>0.84436781654191728</v>
      </c>
      <c r="J22" s="162">
        <f t="shared" si="22"/>
        <v>0.79909749995922918</v>
      </c>
      <c r="K22" s="316">
        <f t="shared" si="23"/>
        <v>0.6501498360655863</v>
      </c>
      <c r="L22" s="339">
        <f t="shared" si="7"/>
        <v>0.64325640242404891</v>
      </c>
      <c r="M22" s="273">
        <f t="shared" si="24"/>
        <v>0.63622714084166998</v>
      </c>
      <c r="N22" s="316">
        <f t="shared" si="25"/>
        <v>0.6290593749701342</v>
      </c>
      <c r="O22" s="369">
        <f t="shared" si="8"/>
        <v>-11.016638919388777</v>
      </c>
      <c r="P22" s="369">
        <f t="shared" si="9"/>
        <v>-11.705982283542514</v>
      </c>
      <c r="Q22" s="369">
        <f t="shared" si="10"/>
        <v>-12.408908441780408</v>
      </c>
      <c r="R22" s="369">
        <f t="shared" si="26"/>
        <v>-13.125685028933987</v>
      </c>
      <c r="S22" s="480">
        <v>0.65</v>
      </c>
      <c r="T22" s="480">
        <v>0.6</v>
      </c>
      <c r="U22" s="489">
        <v>0</v>
      </c>
      <c r="V22" s="490">
        <v>-0.01</v>
      </c>
      <c r="W22" s="480">
        <f t="shared" si="28"/>
        <v>0.6</v>
      </c>
      <c r="X22" s="480">
        <f t="shared" si="29"/>
        <v>0.59</v>
      </c>
      <c r="Y22" s="333">
        <f t="shared" si="11"/>
        <v>1.4983606558627294E-4</v>
      </c>
      <c r="Z22" s="333">
        <f t="shared" si="12"/>
        <v>4.3256402424048934E-2</v>
      </c>
      <c r="AA22" s="333">
        <f t="shared" si="13"/>
        <v>3.6227140841670002E-2</v>
      </c>
      <c r="AB22" s="333">
        <f t="shared" si="14"/>
        <v>3.9059374970134231E-2</v>
      </c>
      <c r="AC22" s="329">
        <f t="shared" si="15"/>
        <v>26667805.140000001</v>
      </c>
      <c r="AD22" s="335">
        <f t="shared" si="16"/>
        <v>27745184.467655998</v>
      </c>
      <c r="AE22" s="335">
        <f t="shared" si="17"/>
        <v>28866089.920149304</v>
      </c>
      <c r="AF22" s="335">
        <f t="shared" si="27"/>
        <v>30032279.952923328</v>
      </c>
      <c r="AG22" s="337">
        <f t="shared" si="18"/>
        <v>17334073.341000002</v>
      </c>
      <c r="AH22" s="337">
        <f t="shared" si="19"/>
        <v>16647110.680593599</v>
      </c>
      <c r="AI22" s="337">
        <f t="shared" si="20"/>
        <v>17319653.952089582</v>
      </c>
      <c r="AJ22" s="337">
        <f t="shared" si="20"/>
        <v>17719045.172224764</v>
      </c>
    </row>
    <row r="23" spans="1:36" customFormat="1" x14ac:dyDescent="0.35">
      <c r="A23" s="56" t="s">
        <v>90</v>
      </c>
      <c r="B23" s="162">
        <f t="shared" si="0"/>
        <v>0.97379247429478255</v>
      </c>
      <c r="C23" s="162">
        <f t="shared" si="1"/>
        <v>0.96880382687770772</v>
      </c>
      <c r="D23" s="162">
        <f t="shared" si="2"/>
        <v>0.96123544273032524</v>
      </c>
      <c r="E23" s="461">
        <f t="shared" si="3"/>
        <v>0.99904366685972068</v>
      </c>
      <c r="F23" s="363">
        <f t="shared" si="4"/>
        <v>0.99866389119357124</v>
      </c>
      <c r="G23" s="162">
        <f t="shared" si="5"/>
        <v>0.99217316292916335</v>
      </c>
      <c r="H23" s="162">
        <f t="shared" si="6"/>
        <v>0.99550652309788001</v>
      </c>
      <c r="I23" s="162">
        <f t="shared" si="21"/>
        <v>0.99346259413202231</v>
      </c>
      <c r="J23" s="162">
        <f t="shared" si="22"/>
        <v>0.99816876982491887</v>
      </c>
      <c r="K23" s="316">
        <f t="shared" si="23"/>
        <v>0.99234344633471505</v>
      </c>
      <c r="L23" s="339">
        <f t="shared" si="7"/>
        <v>0.99219258190743886</v>
      </c>
      <c r="M23" s="273">
        <f t="shared" si="24"/>
        <v>0.99203874485351962</v>
      </c>
      <c r="N23" s="316">
        <f t="shared" si="25"/>
        <v>0.99188187660044114</v>
      </c>
      <c r="O23" s="369">
        <f t="shared" si="8"/>
        <v>-0.31630767631649626</v>
      </c>
      <c r="P23" s="369">
        <f t="shared" si="9"/>
        <v>-0.33139411904411498</v>
      </c>
      <c r="Q23" s="369">
        <f t="shared" si="10"/>
        <v>-0.34677782443603977</v>
      </c>
      <c r="R23" s="369">
        <f t="shared" si="26"/>
        <v>-0.3624646497438877</v>
      </c>
      <c r="S23" s="480">
        <v>0.95</v>
      </c>
      <c r="T23" s="480">
        <v>0.95</v>
      </c>
      <c r="U23" s="489">
        <v>0</v>
      </c>
      <c r="V23" s="491">
        <v>0</v>
      </c>
      <c r="W23" s="480">
        <f t="shared" si="28"/>
        <v>0.95</v>
      </c>
      <c r="X23" s="480">
        <f t="shared" si="29"/>
        <v>0.95</v>
      </c>
      <c r="Y23" s="333">
        <f t="shared" si="11"/>
        <v>4.2343446334715096E-2</v>
      </c>
      <c r="Z23" s="333">
        <f t="shared" si="12"/>
        <v>4.2192581907438909E-2</v>
      </c>
      <c r="AA23" s="333">
        <f t="shared" si="13"/>
        <v>4.2038744853519661E-2</v>
      </c>
      <c r="AB23" s="333">
        <f t="shared" si="14"/>
        <v>4.1881876600441181E-2</v>
      </c>
      <c r="AC23" s="329">
        <f t="shared" si="15"/>
        <v>2983177.68</v>
      </c>
      <c r="AD23" s="335">
        <f t="shared" si="16"/>
        <v>3103698.0582719999</v>
      </c>
      <c r="AE23" s="335">
        <f t="shared" si="17"/>
        <v>3229087.4598261886</v>
      </c>
      <c r="AF23" s="335">
        <f t="shared" si="27"/>
        <v>3359542.5932031665</v>
      </c>
      <c r="AG23" s="337">
        <f t="shared" si="18"/>
        <v>2834018.7960000001</v>
      </c>
      <c r="AH23" s="337">
        <f t="shared" si="19"/>
        <v>2948513.1553583997</v>
      </c>
      <c r="AI23" s="337">
        <f t="shared" si="20"/>
        <v>3067633.0868348791</v>
      </c>
      <c r="AJ23" s="337">
        <f t="shared" si="20"/>
        <v>3191565.4635430081</v>
      </c>
    </row>
    <row r="24" spans="1:36" customFormat="1" x14ac:dyDescent="0.35">
      <c r="A24" s="56" t="s">
        <v>91</v>
      </c>
      <c r="B24" s="162">
        <f t="shared" si="0"/>
        <v>0.74224821521531004</v>
      </c>
      <c r="C24" s="162">
        <f t="shared" si="1"/>
        <v>0.73263410482683711</v>
      </c>
      <c r="D24" s="162">
        <f t="shared" si="2"/>
        <v>0.77309915917078631</v>
      </c>
      <c r="E24" s="461">
        <f t="shared" si="3"/>
        <v>0.96573750584238061</v>
      </c>
      <c r="F24" s="363">
        <f t="shared" si="4"/>
        <v>0.96688241373666906</v>
      </c>
      <c r="G24" s="162">
        <f t="shared" si="5"/>
        <v>0.97679339336722948</v>
      </c>
      <c r="H24" s="162">
        <f t="shared" si="6"/>
        <v>0.88620460673546597</v>
      </c>
      <c r="I24" s="162">
        <f t="shared" si="21"/>
        <v>0.93174061020582333</v>
      </c>
      <c r="J24" s="162">
        <f t="shared" si="22"/>
        <v>0.86001176070069019</v>
      </c>
      <c r="K24" s="316">
        <f t="shared" si="23"/>
        <v>0.75671431576012083</v>
      </c>
      <c r="L24" s="339">
        <f t="shared" si="7"/>
        <v>0.75429958430935251</v>
      </c>
      <c r="M24" s="273">
        <f t="shared" si="24"/>
        <v>0.75186088544760588</v>
      </c>
      <c r="N24" s="316">
        <f t="shared" si="25"/>
        <v>0.749397981286403</v>
      </c>
      <c r="O24" s="369">
        <f t="shared" si="8"/>
        <v>-12.949029097534515</v>
      </c>
      <c r="P24" s="369">
        <f t="shared" si="9"/>
        <v>-13.190502242611347</v>
      </c>
      <c r="Q24" s="369">
        <f t="shared" si="10"/>
        <v>-13.434372128786009</v>
      </c>
      <c r="R24" s="369">
        <f t="shared" si="26"/>
        <v>-13.680662544906298</v>
      </c>
      <c r="S24" s="480">
        <v>0.75</v>
      </c>
      <c r="T24" s="480">
        <v>0.7</v>
      </c>
      <c r="U24" s="489">
        <v>0</v>
      </c>
      <c r="V24" s="490">
        <v>0</v>
      </c>
      <c r="W24" s="480">
        <f t="shared" si="28"/>
        <v>0.7</v>
      </c>
      <c r="X24" s="480">
        <f t="shared" si="29"/>
        <v>0.7</v>
      </c>
      <c r="Y24" s="333">
        <f t="shared" si="11"/>
        <v>6.7143157601208259E-3</v>
      </c>
      <c r="Z24" s="333">
        <f t="shared" si="12"/>
        <v>5.4299584309352555E-2</v>
      </c>
      <c r="AA24" s="333">
        <f t="shared" si="13"/>
        <v>5.186088544760592E-2</v>
      </c>
      <c r="AB24" s="333">
        <f t="shared" si="14"/>
        <v>4.9397981286403048E-2</v>
      </c>
      <c r="AC24" s="329">
        <f t="shared" si="15"/>
        <v>854789.26</v>
      </c>
      <c r="AD24" s="335">
        <f t="shared" si="16"/>
        <v>871970.52412599989</v>
      </c>
      <c r="AE24" s="335">
        <f t="shared" si="17"/>
        <v>889497.13166093256</v>
      </c>
      <c r="AF24" s="335">
        <f t="shared" si="27"/>
        <v>907376.02400731714</v>
      </c>
      <c r="AG24" s="337">
        <f t="shared" si="18"/>
        <v>641091.94500000007</v>
      </c>
      <c r="AH24" s="337">
        <f t="shared" si="19"/>
        <v>610379.36688819993</v>
      </c>
      <c r="AI24" s="337">
        <f t="shared" si="20"/>
        <v>622647.99216265278</v>
      </c>
      <c r="AJ24" s="337">
        <f t="shared" si="20"/>
        <v>635163.21680512198</v>
      </c>
    </row>
    <row r="25" spans="1:36" customFormat="1" x14ac:dyDescent="0.35">
      <c r="A25" s="56" t="s">
        <v>92</v>
      </c>
      <c r="B25" s="162">
        <f t="shared" si="0"/>
        <v>0.67575667695235175</v>
      </c>
      <c r="C25" s="162">
        <f t="shared" si="1"/>
        <v>0.63933782971627706</v>
      </c>
      <c r="D25" s="162">
        <f t="shared" si="2"/>
        <v>0.67073949923783782</v>
      </c>
      <c r="E25" s="461">
        <f t="shared" si="3"/>
        <v>0.96033227816091216</v>
      </c>
      <c r="F25" s="363">
        <f t="shared" si="4"/>
        <v>0.96723488306008365</v>
      </c>
      <c r="G25" s="162">
        <f t="shared" si="5"/>
        <v>0.94568354995936199</v>
      </c>
      <c r="H25" s="162">
        <f t="shared" si="6"/>
        <v>0.95101687536045154</v>
      </c>
      <c r="I25" s="162">
        <f t="shared" si="21"/>
        <v>0.95256426655559501</v>
      </c>
      <c r="J25" s="162">
        <f t="shared" si="22"/>
        <v>0.95733461251804308</v>
      </c>
      <c r="K25" s="316">
        <f t="shared" si="23"/>
        <v>0.87537177756907636</v>
      </c>
      <c r="L25" s="339">
        <f t="shared" si="7"/>
        <v>0.87291610805750985</v>
      </c>
      <c r="M25" s="273">
        <f t="shared" si="24"/>
        <v>0.8704120521320764</v>
      </c>
      <c r="N25" s="316">
        <f t="shared" si="25"/>
        <v>0.86785865638881166</v>
      </c>
      <c r="O25" s="369">
        <f t="shared" si="8"/>
        <v>-7.5645097791375182</v>
      </c>
      <c r="P25" s="369">
        <f t="shared" si="9"/>
        <v>-7.8100767302941687</v>
      </c>
      <c r="Q25" s="369">
        <f t="shared" si="10"/>
        <v>-8.0604823228375153</v>
      </c>
      <c r="R25" s="369">
        <f t="shared" si="26"/>
        <v>-8.315821897163989</v>
      </c>
      <c r="S25" s="480">
        <v>0.85</v>
      </c>
      <c r="T25" s="480">
        <v>0.8</v>
      </c>
      <c r="U25" s="489">
        <v>0</v>
      </c>
      <c r="V25" s="490">
        <v>0</v>
      </c>
      <c r="W25" s="480">
        <f t="shared" si="28"/>
        <v>0.8</v>
      </c>
      <c r="X25" s="480">
        <f t="shared" si="29"/>
        <v>0.8</v>
      </c>
      <c r="Y25" s="333">
        <f t="shared" si="11"/>
        <v>2.5371777569076381E-2</v>
      </c>
      <c r="Z25" s="333">
        <f t="shared" si="12"/>
        <v>7.291610805750981E-2</v>
      </c>
      <c r="AA25" s="333">
        <f t="shared" si="13"/>
        <v>7.0412052132076353E-2</v>
      </c>
      <c r="AB25" s="333">
        <f t="shared" si="14"/>
        <v>6.7858656388811611E-2</v>
      </c>
      <c r="AC25" s="329">
        <f t="shared" si="15"/>
        <v>4502894.04</v>
      </c>
      <c r="AD25" s="335">
        <f t="shared" si="16"/>
        <v>4684810.9592159996</v>
      </c>
      <c r="AE25" s="335">
        <f t="shared" si="17"/>
        <v>4874077.3219683263</v>
      </c>
      <c r="AF25" s="335">
        <f t="shared" si="27"/>
        <v>5070990.0457758456</v>
      </c>
      <c r="AG25" s="337">
        <f t="shared" si="18"/>
        <v>3827459.9339999999</v>
      </c>
      <c r="AH25" s="337">
        <f t="shared" si="19"/>
        <v>3747848.7673728</v>
      </c>
      <c r="AI25" s="337">
        <f t="shared" si="20"/>
        <v>3899261.8575746613</v>
      </c>
      <c r="AJ25" s="337">
        <f t="shared" si="20"/>
        <v>4056792.0366206765</v>
      </c>
    </row>
    <row r="26" spans="1:36" customFormat="1" x14ac:dyDescent="0.35">
      <c r="A26" s="56" t="s">
        <v>93</v>
      </c>
      <c r="B26" s="162">
        <f t="shared" si="0"/>
        <v>0.80751700994734954</v>
      </c>
      <c r="C26" s="162">
        <f t="shared" si="1"/>
        <v>0.82879131756400448</v>
      </c>
      <c r="D26" s="162">
        <f t="shared" si="2"/>
        <v>0.81452802716018813</v>
      </c>
      <c r="E26" s="461">
        <f t="shared" si="3"/>
        <v>0.98042303233531225</v>
      </c>
      <c r="F26" s="363">
        <f t="shared" si="4"/>
        <v>0.99096756873231573</v>
      </c>
      <c r="G26" s="162">
        <f t="shared" si="5"/>
        <v>0.98971138190163643</v>
      </c>
      <c r="H26" s="162">
        <f t="shared" si="6"/>
        <v>0.99037184870388051</v>
      </c>
      <c r="I26" s="162">
        <f t="shared" si="21"/>
        <v>0.9910430598617167</v>
      </c>
      <c r="J26" s="162">
        <f t="shared" si="22"/>
        <v>0.99756890164178835</v>
      </c>
      <c r="K26" s="316">
        <f t="shared" si="23"/>
        <v>0.97311309984774885</v>
      </c>
      <c r="L26" s="339">
        <f t="shared" si="7"/>
        <v>0.97258332144221127</v>
      </c>
      <c r="M26" s="273">
        <f t="shared" si="24"/>
        <v>0.97204310430415408</v>
      </c>
      <c r="N26" s="316">
        <f t="shared" si="25"/>
        <v>0.97149224274920909</v>
      </c>
      <c r="O26" s="369">
        <f t="shared" si="8"/>
        <v>-1.7258748856131656</v>
      </c>
      <c r="P26" s="369">
        <f t="shared" si="9"/>
        <v>-1.778852726166924</v>
      </c>
      <c r="Q26" s="369">
        <f t="shared" si="10"/>
        <v>-1.8328744399726427</v>
      </c>
      <c r="R26" s="369">
        <f t="shared" si="26"/>
        <v>-1.8879605954671419</v>
      </c>
      <c r="S26" s="480">
        <v>0.95</v>
      </c>
      <c r="T26" s="480">
        <v>0.93</v>
      </c>
      <c r="U26" s="489">
        <v>0</v>
      </c>
      <c r="V26" s="491">
        <v>0</v>
      </c>
      <c r="W26" s="480">
        <f t="shared" si="28"/>
        <v>0.93</v>
      </c>
      <c r="X26" s="480">
        <f t="shared" si="29"/>
        <v>0.93</v>
      </c>
      <c r="Y26" s="333">
        <f t="shared" si="11"/>
        <v>2.3113099847748897E-2</v>
      </c>
      <c r="Z26" s="333">
        <f t="shared" si="12"/>
        <v>4.2583321442211219E-2</v>
      </c>
      <c r="AA26" s="333">
        <f t="shared" si="13"/>
        <v>4.2043104304154033E-2</v>
      </c>
      <c r="AB26" s="333">
        <f t="shared" si="14"/>
        <v>4.1492242749209041E-2</v>
      </c>
      <c r="AC26" s="329">
        <f t="shared" si="15"/>
        <v>2827838.82</v>
      </c>
      <c r="AD26" s="335">
        <f t="shared" si="16"/>
        <v>2942083.5083279996</v>
      </c>
      <c r="AE26" s="335">
        <f t="shared" si="17"/>
        <v>3060943.6820644513</v>
      </c>
      <c r="AF26" s="335">
        <f t="shared" si="27"/>
        <v>3184605.8068198543</v>
      </c>
      <c r="AG26" s="337">
        <f t="shared" si="18"/>
        <v>2686446.8789999997</v>
      </c>
      <c r="AH26" s="337">
        <f t="shared" si="19"/>
        <v>2736137.6627450399</v>
      </c>
      <c r="AI26" s="337">
        <f t="shared" si="20"/>
        <v>2846677.6243199399</v>
      </c>
      <c r="AJ26" s="337">
        <f t="shared" si="20"/>
        <v>2961683.4003424644</v>
      </c>
    </row>
    <row r="27" spans="1:36" customFormat="1" x14ac:dyDescent="0.35">
      <c r="A27" s="56" t="s">
        <v>94</v>
      </c>
      <c r="B27" s="162">
        <f t="shared" si="0"/>
        <v>0.79968130839552565</v>
      </c>
      <c r="C27" s="162">
        <f t="shared" si="1"/>
        <v>0.79730707131485834</v>
      </c>
      <c r="D27" s="162">
        <f t="shared" si="2"/>
        <v>0.79978428764818676</v>
      </c>
      <c r="E27" s="461">
        <f t="shared" si="3"/>
        <v>0.96557445205593184</v>
      </c>
      <c r="F27" s="363">
        <f t="shared" si="4"/>
        <v>0.96742463498402809</v>
      </c>
      <c r="G27" s="162">
        <f t="shared" si="5"/>
        <v>0.96549765691011591</v>
      </c>
      <c r="H27" s="162">
        <f t="shared" si="6"/>
        <v>0.95301474871882641</v>
      </c>
      <c r="I27" s="162">
        <f t="shared" si="21"/>
        <v>0.94262410536665675</v>
      </c>
      <c r="J27" s="162">
        <f t="shared" si="22"/>
        <v>0.94842804915797307</v>
      </c>
      <c r="K27" s="316">
        <f t="shared" si="23"/>
        <v>0.89192687847858798</v>
      </c>
      <c r="L27" s="339">
        <f t="shared" si="7"/>
        <v>0.89085419898108342</v>
      </c>
      <c r="M27" s="273">
        <f t="shared" si="24"/>
        <v>0.88977087260590793</v>
      </c>
      <c r="N27" s="316">
        <f t="shared" si="25"/>
        <v>0.88867679367750363</v>
      </c>
      <c r="O27" s="369">
        <f t="shared" si="8"/>
        <v>-6.1087870240238429</v>
      </c>
      <c r="P27" s="369">
        <f t="shared" si="9"/>
        <v>-6.2160549737742983</v>
      </c>
      <c r="Q27" s="369">
        <f t="shared" si="10"/>
        <v>-6.3243876112918489</v>
      </c>
      <c r="R27" s="369">
        <f t="shared" si="26"/>
        <v>-6.4337955041322781</v>
      </c>
      <c r="S27" s="480">
        <v>0.85</v>
      </c>
      <c r="T27" s="480">
        <v>0.85</v>
      </c>
      <c r="U27" s="489">
        <v>0</v>
      </c>
      <c r="V27" s="490">
        <v>0</v>
      </c>
      <c r="W27" s="480">
        <f t="shared" si="28"/>
        <v>0.85</v>
      </c>
      <c r="X27" s="480">
        <f t="shared" si="29"/>
        <v>0.85</v>
      </c>
      <c r="Y27" s="333">
        <f t="shared" si="11"/>
        <v>4.1926878478588003E-2</v>
      </c>
      <c r="Z27" s="333">
        <f t="shared" si="12"/>
        <v>4.0854198981083445E-2</v>
      </c>
      <c r="AA27" s="333">
        <f t="shared" si="13"/>
        <v>3.9770872605907948E-2</v>
      </c>
      <c r="AB27" s="333">
        <f t="shared" si="14"/>
        <v>3.8676793677503651E-2</v>
      </c>
      <c r="AC27" s="329">
        <f t="shared" si="15"/>
        <v>3068612.3</v>
      </c>
      <c r="AD27" s="335">
        <f t="shared" si="16"/>
        <v>3130291.4072299995</v>
      </c>
      <c r="AE27" s="335">
        <f t="shared" si="17"/>
        <v>3193210.2645153226</v>
      </c>
      <c r="AF27" s="335">
        <f t="shared" si="27"/>
        <v>3257393.7908320804</v>
      </c>
      <c r="AG27" s="337">
        <f t="shared" si="18"/>
        <v>2608320.4549999996</v>
      </c>
      <c r="AH27" s="337">
        <f t="shared" si="19"/>
        <v>2660747.6961454996</v>
      </c>
      <c r="AI27" s="337">
        <f t="shared" si="20"/>
        <v>2714228.724838024</v>
      </c>
      <c r="AJ27" s="337">
        <f t="shared" si="20"/>
        <v>2768784.7222072682</v>
      </c>
    </row>
    <row r="28" spans="1:36" customFormat="1" x14ac:dyDescent="0.35">
      <c r="A28" s="56" t="s">
        <v>95</v>
      </c>
      <c r="B28" s="162">
        <f t="shared" si="0"/>
        <v>0.95865937500966869</v>
      </c>
      <c r="C28" s="162">
        <f t="shared" si="1"/>
        <v>0.96751443400060888</v>
      </c>
      <c r="D28" s="162">
        <f t="shared" si="2"/>
        <v>0.97871972708942212</v>
      </c>
      <c r="E28" s="461">
        <f t="shared" si="3"/>
        <v>0.99681135592454206</v>
      </c>
      <c r="F28" s="363">
        <f t="shared" si="4"/>
        <v>0.99765536725321957</v>
      </c>
      <c r="G28" s="162">
        <f t="shared" si="5"/>
        <v>0.96616010204364322</v>
      </c>
      <c r="H28" s="162">
        <f t="shared" si="6"/>
        <v>0.92021162527750044</v>
      </c>
      <c r="I28" s="162">
        <f t="shared" si="21"/>
        <v>0.92234924184587042</v>
      </c>
      <c r="J28" s="162">
        <f t="shared" si="22"/>
        <v>0.94158928523420549</v>
      </c>
      <c r="K28" s="316">
        <f t="shared" si="23"/>
        <v>0.84860589615763515</v>
      </c>
      <c r="L28" s="339">
        <f t="shared" si="7"/>
        <v>0.84710323435839596</v>
      </c>
      <c r="M28" s="273">
        <f t="shared" si="24"/>
        <v>0.8455856578932246</v>
      </c>
      <c r="N28" s="316">
        <f t="shared" si="25"/>
        <v>0.84405301872664196</v>
      </c>
      <c r="O28" s="369">
        <f t="shared" si="8"/>
        <v>-7.1605729119865291</v>
      </c>
      <c r="P28" s="369">
        <f t="shared" si="9"/>
        <v>-7.3108390919104487</v>
      </c>
      <c r="Q28" s="369">
        <f t="shared" si="10"/>
        <v>-7.4625967384275853</v>
      </c>
      <c r="R28" s="369">
        <f t="shared" si="26"/>
        <v>-7.6158606550858483</v>
      </c>
      <c r="S28" s="480">
        <v>0.85</v>
      </c>
      <c r="T28" s="480">
        <v>0.8</v>
      </c>
      <c r="U28" s="489">
        <v>0</v>
      </c>
      <c r="V28" s="490">
        <v>0</v>
      </c>
      <c r="W28" s="480">
        <f t="shared" si="28"/>
        <v>0.8</v>
      </c>
      <c r="X28" s="480">
        <f t="shared" si="29"/>
        <v>0.8</v>
      </c>
      <c r="Y28" s="333">
        <f t="shared" si="11"/>
        <v>-1.3941038423648244E-3</v>
      </c>
      <c r="Z28" s="333">
        <f t="shared" si="12"/>
        <v>4.7103234358395918E-2</v>
      </c>
      <c r="AA28" s="333">
        <f t="shared" si="13"/>
        <v>4.5585657893224552E-2</v>
      </c>
      <c r="AB28" s="333">
        <f t="shared" si="14"/>
        <v>4.4053018726641913E-2</v>
      </c>
      <c r="AC28" s="329">
        <f t="shared" si="15"/>
        <v>1832100.61</v>
      </c>
      <c r="AD28" s="335">
        <f t="shared" si="16"/>
        <v>1868925.8322609998</v>
      </c>
      <c r="AE28" s="335">
        <f t="shared" si="17"/>
        <v>1906491.241489446</v>
      </c>
      <c r="AF28" s="335">
        <f t="shared" si="27"/>
        <v>1944811.7154433837</v>
      </c>
      <c r="AG28" s="337">
        <f t="shared" si="18"/>
        <v>1557285.5185</v>
      </c>
      <c r="AH28" s="337">
        <f t="shared" si="19"/>
        <v>1495140.6658087999</v>
      </c>
      <c r="AI28" s="337">
        <f t="shared" si="20"/>
        <v>1525192.993191557</v>
      </c>
      <c r="AJ28" s="337">
        <f t="shared" si="20"/>
        <v>1555849.372354707</v>
      </c>
    </row>
    <row r="29" spans="1:36" s="93" customFormat="1" x14ac:dyDescent="0.35">
      <c r="A29" s="93" t="s">
        <v>96</v>
      </c>
      <c r="B29" s="533"/>
      <c r="C29" s="533"/>
      <c r="D29" s="533"/>
      <c r="E29" s="533"/>
      <c r="F29" s="512">
        <f t="shared" si="4"/>
        <v>0.82850663892408893</v>
      </c>
      <c r="G29" s="513">
        <f t="shared" si="5"/>
        <v>0.84909219943140957</v>
      </c>
      <c r="H29" s="513">
        <f t="shared" si="6"/>
        <v>0.89098569906245051</v>
      </c>
      <c r="I29" s="513">
        <f t="shared" si="21"/>
        <v>0.9180382421119464</v>
      </c>
      <c r="J29" s="513">
        <f t="shared" si="22"/>
        <v>0.94170692375934839</v>
      </c>
      <c r="K29" s="514">
        <f t="shared" ref="K29" si="30">AN61</f>
        <v>0.73230037275189463</v>
      </c>
      <c r="L29" s="512">
        <f t="shared" ref="L29" si="31">BH61</f>
        <v>0.72702563000046616</v>
      </c>
      <c r="M29" s="515">
        <f t="shared" ref="M29" si="32">BT61</f>
        <v>0.72164695392877232</v>
      </c>
      <c r="N29" s="514">
        <f t="shared" si="25"/>
        <v>0.71616229663882591</v>
      </c>
      <c r="O29" s="534">
        <f t="shared" si="8"/>
        <v>-15.868532631055587</v>
      </c>
      <c r="P29" s="534">
        <f t="shared" si="9"/>
        <v>-16.396006906198433</v>
      </c>
      <c r="Q29" s="534">
        <f t="shared" si="10"/>
        <v>-16.933874513367819</v>
      </c>
      <c r="R29" s="534">
        <f t="shared" si="26"/>
        <v>-17.482340242362461</v>
      </c>
      <c r="S29" s="535">
        <v>0.75</v>
      </c>
      <c r="T29" s="535">
        <v>0.7</v>
      </c>
      <c r="U29" s="536">
        <v>0</v>
      </c>
      <c r="V29" s="537">
        <v>-0.01</v>
      </c>
      <c r="W29" s="535">
        <f>+T29+U29</f>
        <v>0.7</v>
      </c>
      <c r="X29" s="535">
        <f>+W29+V29</f>
        <v>0.69</v>
      </c>
      <c r="Y29" s="524">
        <f t="shared" si="11"/>
        <v>-1.7699627248105365E-2</v>
      </c>
      <c r="Z29" s="524">
        <f t="shared" si="12"/>
        <v>2.7025630000466205E-2</v>
      </c>
      <c r="AA29" s="524">
        <f t="shared" si="13"/>
        <v>2.1646953928772361E-2</v>
      </c>
      <c r="AB29" s="524">
        <f t="shared" si="14"/>
        <v>2.6162296638825966E-2</v>
      </c>
      <c r="AC29" s="94">
        <f t="shared" si="15"/>
        <v>11225826.24</v>
      </c>
      <c r="AD29" s="526">
        <f t="shared" si="16"/>
        <v>11679349.620096</v>
      </c>
      <c r="AE29" s="526">
        <f t="shared" si="17"/>
        <v>12151195.344747879</v>
      </c>
      <c r="AF29" s="526">
        <f t="shared" ref="AF29:AF32" si="33">CE61</f>
        <v>12642103.636675691</v>
      </c>
      <c r="AG29" s="527">
        <f t="shared" si="18"/>
        <v>8419369.6799999997</v>
      </c>
      <c r="AH29" s="527">
        <f t="shared" si="19"/>
        <v>8175544.7340671998</v>
      </c>
      <c r="AI29" s="527">
        <f t="shared" si="20"/>
        <v>8505836.7413235139</v>
      </c>
      <c r="AJ29" s="527">
        <f t="shared" si="20"/>
        <v>8723051.5093062259</v>
      </c>
    </row>
    <row r="30" spans="1:36" customFormat="1" x14ac:dyDescent="0.35">
      <c r="A30" s="56" t="s">
        <v>98</v>
      </c>
      <c r="B30" s="162">
        <f>+E62</f>
        <v>0.53331392004378297</v>
      </c>
      <c r="C30" s="162">
        <f>+I62</f>
        <v>0.532705465335091</v>
      </c>
      <c r="D30" s="162">
        <f>+M62</f>
        <v>0.52749745909186152</v>
      </c>
      <c r="E30" s="461">
        <f>+Q62</f>
        <v>0.76100544085727351</v>
      </c>
      <c r="F30" s="363">
        <f t="shared" si="4"/>
        <v>0.78195568368427382</v>
      </c>
      <c r="G30" s="162">
        <f t="shared" si="5"/>
        <v>0.80023000651546061</v>
      </c>
      <c r="H30" s="162">
        <f t="shared" si="6"/>
        <v>0.81142153204311451</v>
      </c>
      <c r="I30" s="162">
        <f t="shared" si="21"/>
        <v>0.90641952690243244</v>
      </c>
      <c r="J30" s="162">
        <f t="shared" si="22"/>
        <v>0.89351362941157897</v>
      </c>
      <c r="K30" s="316">
        <f t="shared" si="23"/>
        <v>0.70902838296715964</v>
      </c>
      <c r="L30" s="339">
        <f>BH62</f>
        <v>0.70329508985953448</v>
      </c>
      <c r="M30" s="273">
        <f t="shared" si="24"/>
        <v>0.69744882817376019</v>
      </c>
      <c r="N30" s="316">
        <f t="shared" si="25"/>
        <v>0.69148737198148991</v>
      </c>
      <c r="O30" s="369">
        <f t="shared" si="8"/>
        <v>-10.239314907595487</v>
      </c>
      <c r="P30" s="369">
        <f t="shared" si="9"/>
        <v>-10.812644218358002</v>
      </c>
      <c r="Q30" s="369">
        <f t="shared" si="10"/>
        <v>-11.397270386935432</v>
      </c>
      <c r="R30" s="369">
        <f t="shared" si="26"/>
        <v>-11.993416006162461</v>
      </c>
      <c r="S30" s="480">
        <v>0.7</v>
      </c>
      <c r="T30" s="481">
        <v>0.65</v>
      </c>
      <c r="U30" s="489">
        <v>0</v>
      </c>
      <c r="V30" s="490">
        <v>-0.01</v>
      </c>
      <c r="W30" s="480">
        <f t="shared" ref="W30:W31" si="34">+T30+U30</f>
        <v>0.65</v>
      </c>
      <c r="X30" s="480">
        <f t="shared" ref="X30:X31" si="35">+W30+V30</f>
        <v>0.64</v>
      </c>
      <c r="Y30" s="333">
        <f t="shared" si="11"/>
        <v>9.0283829671596871E-3</v>
      </c>
      <c r="Z30" s="333">
        <f t="shared" si="12"/>
        <v>5.3295089859534461E-2</v>
      </c>
      <c r="AA30" s="333">
        <f t="shared" si="13"/>
        <v>4.7448828173760171E-2</v>
      </c>
      <c r="AB30" s="333">
        <f t="shared" si="14"/>
        <v>5.1487371981489893E-2</v>
      </c>
      <c r="AC30" s="329">
        <f>+SUM(AC4:AC28)</f>
        <v>353663003.66000003</v>
      </c>
      <c r="AD30" s="335">
        <f t="shared" ref="AD30:AD32" si="36">BG62</f>
        <v>362746013.19335997</v>
      </c>
      <c r="AE30" s="335">
        <f t="shared" ref="AE30:AE32" si="37">BS62</f>
        <v>377400952.12637174</v>
      </c>
      <c r="AF30" s="335">
        <f t="shared" si="33"/>
        <v>392647950.59227711</v>
      </c>
      <c r="AG30" s="337">
        <f t="shared" si="18"/>
        <v>247564102.56200001</v>
      </c>
      <c r="AH30" s="337">
        <f t="shared" si="19"/>
        <v>235784908.57568398</v>
      </c>
      <c r="AI30" s="337">
        <f t="shared" si="20"/>
        <v>245310618.88214165</v>
      </c>
      <c r="AJ30" s="337">
        <f t="shared" si="20"/>
        <v>251294688.37905735</v>
      </c>
    </row>
    <row r="31" spans="1:36" customFormat="1" x14ac:dyDescent="0.35">
      <c r="A31" s="56" t="s">
        <v>99</v>
      </c>
      <c r="B31" s="363">
        <f>+E63</f>
        <v>0.8732482903119404</v>
      </c>
      <c r="C31" s="162">
        <f>+I63</f>
        <v>0.87519632718706131</v>
      </c>
      <c r="D31" s="162">
        <f>+M63</f>
        <v>0.85318420776189707</v>
      </c>
      <c r="E31" s="461">
        <f>+Q63</f>
        <v>0.97870307536563461</v>
      </c>
      <c r="F31" s="363">
        <f t="shared" si="4"/>
        <v>0.98763913343000798</v>
      </c>
      <c r="G31" s="162">
        <f t="shared" si="5"/>
        <v>0.98829855080814533</v>
      </c>
      <c r="H31" s="162">
        <f t="shared" si="6"/>
        <v>0.98320635252058386</v>
      </c>
      <c r="I31" s="162">
        <f t="shared" si="21"/>
        <v>0.98769564878248894</v>
      </c>
      <c r="J31" s="162">
        <f t="shared" si="22"/>
        <v>0.97956574829186149</v>
      </c>
      <c r="K31" s="316">
        <f t="shared" si="23"/>
        <v>0.96680403147299443</v>
      </c>
      <c r="L31" s="339">
        <f>BH63</f>
        <v>0.96614993943646643</v>
      </c>
      <c r="M31" s="273">
        <f t="shared" si="24"/>
        <v>0.96548295919660432</v>
      </c>
      <c r="N31" s="316">
        <f t="shared" si="25"/>
        <v>0.9648028368047652</v>
      </c>
      <c r="O31" s="369">
        <f t="shared" si="8"/>
        <v>-1.640232104758943</v>
      </c>
      <c r="P31" s="369">
        <f t="shared" si="9"/>
        <v>-1.7056413084117428</v>
      </c>
      <c r="Q31" s="369">
        <f t="shared" si="10"/>
        <v>-1.7723393323979542</v>
      </c>
      <c r="R31" s="369">
        <f t="shared" si="26"/>
        <v>-1.8403515715818664</v>
      </c>
      <c r="S31" s="480">
        <v>0.9</v>
      </c>
      <c r="T31" s="480">
        <v>0.9</v>
      </c>
      <c r="U31" s="489">
        <v>0</v>
      </c>
      <c r="V31" s="490">
        <v>0</v>
      </c>
      <c r="W31" s="480">
        <f t="shared" si="34"/>
        <v>0.9</v>
      </c>
      <c r="X31" s="480">
        <f t="shared" si="35"/>
        <v>0.9</v>
      </c>
      <c r="Y31" s="333">
        <f t="shared" si="11"/>
        <v>6.6804031472994407E-2</v>
      </c>
      <c r="Z31" s="333">
        <f t="shared" si="12"/>
        <v>6.614993943646641E-2</v>
      </c>
      <c r="AA31" s="333">
        <f t="shared" si="13"/>
        <v>6.5482959196604296E-2</v>
      </c>
      <c r="AB31" s="333">
        <f t="shared" si="14"/>
        <v>6.4802836804765174E-2</v>
      </c>
      <c r="AC31" s="329">
        <f>AM63</f>
        <v>77624759.099999994</v>
      </c>
      <c r="AD31" s="335">
        <f t="shared" si="36"/>
        <v>80760799.367639989</v>
      </c>
      <c r="AE31" s="335">
        <f t="shared" si="37"/>
        <v>84023535.662092656</v>
      </c>
      <c r="AF31" s="335">
        <f t="shared" si="33"/>
        <v>87418086.50284119</v>
      </c>
      <c r="AG31" s="337">
        <f t="shared" si="18"/>
        <v>69862283.189999998</v>
      </c>
      <c r="AH31" s="337">
        <f t="shared" si="19"/>
        <v>72684719.430875987</v>
      </c>
      <c r="AI31" s="337">
        <f t="shared" si="20"/>
        <v>75621182.095883399</v>
      </c>
      <c r="AJ31" s="337">
        <f t="shared" si="20"/>
        <v>78676277.852557078</v>
      </c>
    </row>
    <row r="32" spans="1:36" customFormat="1" ht="15" thickBot="1" x14ac:dyDescent="0.4">
      <c r="A32" s="57" t="s">
        <v>100</v>
      </c>
      <c r="B32" s="364">
        <f>+E64</f>
        <v>0.59904467472279721</v>
      </c>
      <c r="C32" s="365">
        <f>+I64</f>
        <v>0.59836245954391143</v>
      </c>
      <c r="D32" s="365">
        <f>+M64</f>
        <v>0.59362691739095408</v>
      </c>
      <c r="E32" s="466">
        <f>+Q64</f>
        <v>0.80318382661997534</v>
      </c>
      <c r="F32" s="364">
        <f t="shared" si="4"/>
        <v>0.81927839601388586</v>
      </c>
      <c r="G32" s="365">
        <f t="shared" si="5"/>
        <v>0.83448705704928927</v>
      </c>
      <c r="H32" s="365">
        <f t="shared" si="6"/>
        <v>0.8427028540613164</v>
      </c>
      <c r="I32" s="365">
        <f t="shared" si="21"/>
        <v>0.91903052399048413</v>
      </c>
      <c r="J32" s="365">
        <f t="shared" si="22"/>
        <v>0.90753763015617717</v>
      </c>
      <c r="K32" s="318">
        <f t="shared" si="23"/>
        <v>0.75596828747647249</v>
      </c>
      <c r="L32" s="367">
        <f>BH64</f>
        <v>0.75115989637042435</v>
      </c>
      <c r="M32" s="319">
        <f t="shared" si="24"/>
        <v>0.74625676091828452</v>
      </c>
      <c r="N32" s="318">
        <f t="shared" si="25"/>
        <v>0.74125701428124557</v>
      </c>
      <c r="O32" s="370">
        <f t="shared" si="8"/>
        <v>-8.6734566584843904</v>
      </c>
      <c r="P32" s="370">
        <f t="shared" si="9"/>
        <v>-9.1542957690892042</v>
      </c>
      <c r="Q32" s="370">
        <f t="shared" si="10"/>
        <v>-9.644609314303187</v>
      </c>
      <c r="R32" s="370">
        <f t="shared" si="26"/>
        <v>-10.144583978007082</v>
      </c>
      <c r="S32" s="482">
        <v>0.7</v>
      </c>
      <c r="T32" s="483">
        <v>0.7</v>
      </c>
      <c r="U32" s="492">
        <v>0</v>
      </c>
      <c r="V32" s="493">
        <v>-0.01</v>
      </c>
      <c r="W32" s="482">
        <f>+T32+U32</f>
        <v>0.7</v>
      </c>
      <c r="X32" s="482">
        <f>+W32+V32</f>
        <v>0.69</v>
      </c>
      <c r="Y32" s="334">
        <f t="shared" si="11"/>
        <v>5.5968287476472534E-2</v>
      </c>
      <c r="Z32" s="334">
        <f t="shared" si="12"/>
        <v>5.1159896370424396E-2</v>
      </c>
      <c r="AA32" s="334">
        <f t="shared" si="13"/>
        <v>4.6256760918284567E-2</v>
      </c>
      <c r="AB32" s="334">
        <f t="shared" si="14"/>
        <v>5.1257014281245628E-2</v>
      </c>
      <c r="AC32" s="331">
        <f>+AC31+AC30</f>
        <v>431287762.75999999</v>
      </c>
      <c r="AD32" s="336">
        <f t="shared" si="36"/>
        <v>443506812.56099999</v>
      </c>
      <c r="AE32" s="336">
        <f t="shared" si="37"/>
        <v>461424487.78846443</v>
      </c>
      <c r="AF32" s="336">
        <f t="shared" si="33"/>
        <v>480066037.09511828</v>
      </c>
      <c r="AG32" s="374">
        <f t="shared" si="18"/>
        <v>301901433.93199998</v>
      </c>
      <c r="AH32" s="374">
        <f t="shared" si="19"/>
        <v>310454768.79269999</v>
      </c>
      <c r="AI32" s="374">
        <f t="shared" si="20"/>
        <v>322997141.4519251</v>
      </c>
      <c r="AJ32" s="374">
        <f t="shared" si="20"/>
        <v>331245565.5956316</v>
      </c>
    </row>
    <row r="33" spans="1:93" s="32" customFormat="1" ht="15" thickBot="1" x14ac:dyDescent="0.4">
      <c r="B33" s="85"/>
      <c r="C33" s="85"/>
      <c r="D33" s="85"/>
      <c r="AU33" s="240"/>
    </row>
    <row r="34" spans="1:93" ht="15" thickBot="1" x14ac:dyDescent="0.4">
      <c r="B34" s="653" t="s">
        <v>143</v>
      </c>
      <c r="C34" s="654"/>
      <c r="D34" s="654"/>
      <c r="E34" s="655"/>
      <c r="F34" s="653" t="s">
        <v>144</v>
      </c>
      <c r="G34" s="654"/>
      <c r="H34" s="654"/>
      <c r="I34" s="655"/>
      <c r="J34" s="653" t="s">
        <v>145</v>
      </c>
      <c r="K34" s="654"/>
      <c r="L34" s="654"/>
      <c r="M34" s="655"/>
      <c r="N34" s="653" t="s">
        <v>146</v>
      </c>
      <c r="O34" s="654"/>
      <c r="P34" s="654"/>
      <c r="Q34" s="655"/>
      <c r="R34" s="653" t="s">
        <v>147</v>
      </c>
      <c r="S34" s="654"/>
      <c r="T34" s="654"/>
      <c r="U34" s="655"/>
      <c r="V34" s="653" t="s">
        <v>148</v>
      </c>
      <c r="W34" s="654"/>
      <c r="X34" s="654"/>
      <c r="Y34" s="655"/>
      <c r="Z34" s="656" t="s">
        <v>149</v>
      </c>
      <c r="AA34" s="657"/>
      <c r="AB34" s="657"/>
      <c r="AC34" s="657"/>
      <c r="AD34" s="657"/>
      <c r="AE34" s="657"/>
      <c r="AF34" s="657"/>
      <c r="AG34" s="657"/>
      <c r="AH34" s="658"/>
      <c r="AI34" s="659" t="s">
        <v>188</v>
      </c>
      <c r="AJ34" s="660"/>
      <c r="AK34" s="660"/>
      <c r="AL34" s="660"/>
      <c r="AM34" s="660"/>
      <c r="AN34" s="661"/>
      <c r="AO34" s="654" t="s">
        <v>151</v>
      </c>
      <c r="AP34" s="654"/>
      <c r="AQ34" s="654"/>
      <c r="AR34" s="655"/>
      <c r="AS34" s="651" t="s">
        <v>152</v>
      </c>
      <c r="AT34" s="651"/>
      <c r="AU34" s="651"/>
      <c r="AV34" s="651"/>
      <c r="AW34" s="651"/>
      <c r="AX34" s="652"/>
      <c r="AY34" s="654" t="s">
        <v>153</v>
      </c>
      <c r="AZ34" s="654"/>
      <c r="BA34" s="654"/>
      <c r="BB34" s="655"/>
      <c r="BC34" s="650" t="s">
        <v>154</v>
      </c>
      <c r="BD34" s="651"/>
      <c r="BE34" s="651"/>
      <c r="BF34" s="651"/>
      <c r="BG34" s="651"/>
      <c r="BH34" s="652"/>
      <c r="BI34" s="650" t="s">
        <v>155</v>
      </c>
      <c r="BJ34" s="651"/>
      <c r="BK34" s="651"/>
      <c r="BL34" s="651"/>
      <c r="BM34" s="651"/>
      <c r="BN34" s="652"/>
      <c r="BO34" s="650" t="s">
        <v>156</v>
      </c>
      <c r="BP34" s="651"/>
      <c r="BQ34" s="651"/>
      <c r="BR34" s="651"/>
      <c r="BS34" s="651"/>
      <c r="BT34" s="652"/>
      <c r="BU34" s="650" t="s">
        <v>157</v>
      </c>
      <c r="BV34" s="651"/>
      <c r="BW34" s="651"/>
      <c r="BX34" s="651"/>
      <c r="BY34" s="651"/>
      <c r="BZ34" s="652"/>
      <c r="CA34" s="650" t="s">
        <v>158</v>
      </c>
      <c r="CB34" s="651"/>
      <c r="CC34" s="651"/>
      <c r="CD34" s="651"/>
      <c r="CE34" s="651"/>
      <c r="CF34" s="652"/>
    </row>
    <row r="35" spans="1:93" ht="86.15" customHeight="1" thickBot="1" x14ac:dyDescent="0.4">
      <c r="A35" s="53" t="s">
        <v>128</v>
      </c>
      <c r="B35" s="288" t="s">
        <v>159</v>
      </c>
      <c r="C35" s="289" t="s">
        <v>160</v>
      </c>
      <c r="D35" s="289" t="s">
        <v>161</v>
      </c>
      <c r="E35" s="161" t="s">
        <v>129</v>
      </c>
      <c r="F35" s="163" t="s">
        <v>159</v>
      </c>
      <c r="G35" s="164" t="s">
        <v>160</v>
      </c>
      <c r="H35" s="164" t="s">
        <v>161</v>
      </c>
      <c r="I35" s="161" t="s">
        <v>129</v>
      </c>
      <c r="J35" s="163" t="s">
        <v>159</v>
      </c>
      <c r="K35" s="164" t="s">
        <v>160</v>
      </c>
      <c r="L35" s="164" t="s">
        <v>161</v>
      </c>
      <c r="M35" s="161" t="s">
        <v>129</v>
      </c>
      <c r="N35" s="163" t="s">
        <v>159</v>
      </c>
      <c r="O35" s="164" t="s">
        <v>160</v>
      </c>
      <c r="P35" s="164" t="s">
        <v>161</v>
      </c>
      <c r="Q35" s="161" t="s">
        <v>129</v>
      </c>
      <c r="R35" s="163" t="s">
        <v>159</v>
      </c>
      <c r="S35" s="164" t="s">
        <v>160</v>
      </c>
      <c r="T35" s="164" t="s">
        <v>161</v>
      </c>
      <c r="U35" s="161" t="s">
        <v>129</v>
      </c>
      <c r="V35" s="163" t="s">
        <v>159</v>
      </c>
      <c r="W35" s="164" t="s">
        <v>160</v>
      </c>
      <c r="X35" s="164" t="s">
        <v>161</v>
      </c>
      <c r="Y35" s="161" t="s">
        <v>129</v>
      </c>
      <c r="Z35" s="163" t="s">
        <v>159</v>
      </c>
      <c r="AA35" s="164" t="s">
        <v>160</v>
      </c>
      <c r="AB35" s="164" t="s">
        <v>161</v>
      </c>
      <c r="AC35" s="164" t="s">
        <v>129</v>
      </c>
      <c r="AD35" s="164" t="s">
        <v>162</v>
      </c>
      <c r="AE35" s="164" t="s">
        <v>163</v>
      </c>
      <c r="AF35" s="161" t="s">
        <v>164</v>
      </c>
      <c r="AG35" s="115" t="s">
        <v>165</v>
      </c>
      <c r="AH35" s="269" t="s">
        <v>189</v>
      </c>
      <c r="AI35" s="342" t="str">
        <f>+N35</f>
        <v>Reliable Daily PMT</v>
      </c>
      <c r="AJ35" s="208" t="s">
        <v>190</v>
      </c>
      <c r="AK35" s="115" t="s">
        <v>168</v>
      </c>
      <c r="AL35" s="208" t="str">
        <f>+O35</f>
        <v>Unreliable Daily PMT</v>
      </c>
      <c r="AM35" s="208" t="str">
        <f>+P35</f>
        <v>Total Daily PMT</v>
      </c>
      <c r="AN35" s="343" t="str">
        <f>+Q35</f>
        <v>Reliable Percentage</v>
      </c>
      <c r="AO35" s="352" t="s">
        <v>159</v>
      </c>
      <c r="AP35" s="352" t="s">
        <v>160</v>
      </c>
      <c r="AQ35" s="352" t="s">
        <v>161</v>
      </c>
      <c r="AR35" s="175" t="s">
        <v>129</v>
      </c>
      <c r="AS35" s="263" t="str">
        <f>+AI35</f>
        <v>Reliable Daily PMT</v>
      </c>
      <c r="AT35" s="253" t="s">
        <v>190</v>
      </c>
      <c r="AU35" s="353" t="s">
        <v>168</v>
      </c>
      <c r="AV35" s="253" t="str">
        <f>+AL35</f>
        <v>Unreliable Daily PMT</v>
      </c>
      <c r="AW35" s="253" t="str">
        <f>+AM35</f>
        <v>Total Daily PMT</v>
      </c>
      <c r="AX35" s="254" t="str">
        <f>+AN35</f>
        <v>Reliable Percentage</v>
      </c>
      <c r="AY35" s="163" t="s">
        <v>159</v>
      </c>
      <c r="AZ35" s="164" t="s">
        <v>160</v>
      </c>
      <c r="BA35" s="164" t="s">
        <v>161</v>
      </c>
      <c r="BB35" s="161" t="s">
        <v>129</v>
      </c>
      <c r="BC35" s="252" t="s">
        <v>159</v>
      </c>
      <c r="BD35" s="252" t="s">
        <v>167</v>
      </c>
      <c r="BE35" s="252" t="s">
        <v>168</v>
      </c>
      <c r="BF35" s="252" t="s">
        <v>160</v>
      </c>
      <c r="BG35" s="264" t="str">
        <f>+AW35</f>
        <v>Total Daily PMT</v>
      </c>
      <c r="BH35" s="254" t="str">
        <f>+AX35</f>
        <v>Reliable Percentage</v>
      </c>
      <c r="BI35" s="265" t="s">
        <v>159</v>
      </c>
      <c r="BJ35" s="252" t="s">
        <v>170</v>
      </c>
      <c r="BK35" s="252" t="s">
        <v>168</v>
      </c>
      <c r="BL35" s="252" t="s">
        <v>160</v>
      </c>
      <c r="BM35" s="264" t="s">
        <v>161</v>
      </c>
      <c r="BN35" s="254" t="s">
        <v>129</v>
      </c>
      <c r="BO35" s="265" t="s">
        <v>159</v>
      </c>
      <c r="BP35" s="252" t="s">
        <v>170</v>
      </c>
      <c r="BQ35" s="252" t="s">
        <v>168</v>
      </c>
      <c r="BR35" s="252" t="s">
        <v>160</v>
      </c>
      <c r="BS35" s="264" t="s">
        <v>161</v>
      </c>
      <c r="BT35" s="254" t="s">
        <v>129</v>
      </c>
      <c r="BU35" s="265" t="s">
        <v>159</v>
      </c>
      <c r="BV35" s="252" t="s">
        <v>170</v>
      </c>
      <c r="BW35" s="252" t="s">
        <v>168</v>
      </c>
      <c r="BX35" s="252" t="s">
        <v>160</v>
      </c>
      <c r="BY35" s="264" t="s">
        <v>161</v>
      </c>
      <c r="BZ35" s="254" t="s">
        <v>129</v>
      </c>
      <c r="CA35" s="265" t="s">
        <v>159</v>
      </c>
      <c r="CB35" s="252" t="s">
        <v>170</v>
      </c>
      <c r="CC35" s="252" t="s">
        <v>168</v>
      </c>
      <c r="CD35" s="252" t="s">
        <v>160</v>
      </c>
      <c r="CE35" s="264" t="s">
        <v>161</v>
      </c>
      <c r="CF35" s="254" t="s">
        <v>129</v>
      </c>
    </row>
    <row r="36" spans="1:93" x14ac:dyDescent="0.35">
      <c r="A36" s="55" t="s">
        <v>71</v>
      </c>
      <c r="B36" s="309">
        <f>'2014 RAW DATA'!N5</f>
        <v>1523811.9797260275</v>
      </c>
      <c r="C36" s="341">
        <f>'2014 RAW DATA'!M5</f>
        <v>107628.28778082192</v>
      </c>
      <c r="D36" s="310">
        <f>+B36++C36</f>
        <v>1631440.2675068495</v>
      </c>
      <c r="E36" s="167">
        <f>B36/D36</f>
        <v>0.93402866784372163</v>
      </c>
      <c r="F36" s="173">
        <f>'2015 RAW DATA'!N5</f>
        <v>1568002.8146460005</v>
      </c>
      <c r="G36" s="293">
        <f>'2015 RAW DATA'!M5</f>
        <v>105260.29166999998</v>
      </c>
      <c r="H36" s="172">
        <f>+F36++G36</f>
        <v>1673263.1063160005</v>
      </c>
      <c r="I36" s="167">
        <f>F36/H36</f>
        <v>0.93709280311465781</v>
      </c>
      <c r="J36" s="173">
        <f>'2016 RAW DATA'!N5</f>
        <v>1645853.8175640001</v>
      </c>
      <c r="K36" s="293">
        <f>'2016 RAW DATA'!M5</f>
        <v>109175.69099999999</v>
      </c>
      <c r="L36" s="172">
        <f>+J36++K36</f>
        <v>1755029.508564</v>
      </c>
      <c r="M36" s="167">
        <f>J36/L36</f>
        <v>0.93779267501357877</v>
      </c>
      <c r="N36" s="173">
        <f>+'2017 RAW DATA'!N5</f>
        <v>1507166</v>
      </c>
      <c r="O36" s="293">
        <f>+'2017 RAW DATA'!M5</f>
        <v>13038</v>
      </c>
      <c r="P36" s="172">
        <f>+N36++O36</f>
        <v>1520204</v>
      </c>
      <c r="Q36" s="167">
        <f>N36/P36</f>
        <v>0.99142351947501783</v>
      </c>
      <c r="R36" s="165">
        <f>'2017 NEW RAW DATA '!N5</f>
        <v>1401937</v>
      </c>
      <c r="S36" s="165">
        <f>'2017 NEW RAW DATA '!M5</f>
        <v>12744</v>
      </c>
      <c r="T36" s="165">
        <f>R36+S36</f>
        <v>1414681</v>
      </c>
      <c r="U36" s="166">
        <f>R36/T36</f>
        <v>0.99099160870895986</v>
      </c>
      <c r="V36" s="165">
        <f>'2018 RAW DATA'!N5</f>
        <v>1639317</v>
      </c>
      <c r="W36" s="165">
        <f>'2018 RAW DATA'!M5</f>
        <v>77640</v>
      </c>
      <c r="X36" s="165">
        <f>V36+W36</f>
        <v>1716957</v>
      </c>
      <c r="Y36" s="166">
        <f>V36/X36</f>
        <v>0.95478046334299582</v>
      </c>
      <c r="Z36" s="165">
        <f>'2019 RAW DATA'!N5</f>
        <v>1773964</v>
      </c>
      <c r="AA36" s="165">
        <f>'2019 RAW DATA'!M5</f>
        <v>95450</v>
      </c>
      <c r="AB36" s="165">
        <f>Z36+AA36</f>
        <v>1869414</v>
      </c>
      <c r="AC36" s="300">
        <f>Z36/AB36</f>
        <v>0.94894121901301687</v>
      </c>
      <c r="AD36" s="239"/>
      <c r="AE36" s="239"/>
      <c r="AF36" s="239"/>
      <c r="AG36" s="463">
        <v>180128</v>
      </c>
      <c r="AH36" s="339">
        <v>0.01</v>
      </c>
      <c r="AI36" s="344">
        <f t="shared" ref="AI36:AI60" si="38">Z36*(100%+AH36)</f>
        <v>1791703.6400000001</v>
      </c>
      <c r="AJ36" s="460">
        <f>+AG36*((100%+AH36)^1)</f>
        <v>181929.28</v>
      </c>
      <c r="AK36" s="346">
        <f>AI36-AJ36</f>
        <v>1609774.36</v>
      </c>
      <c r="AL36" s="346">
        <f t="shared" ref="AL36:AL60" si="39">AA36*(100%+AH36)+AJ36</f>
        <v>278333.78000000003</v>
      </c>
      <c r="AM36" s="346">
        <f t="shared" ref="AM36:AM60" si="40">AB36*(100%+AH36)^1</f>
        <v>1888108.1400000001</v>
      </c>
      <c r="AN36" s="347">
        <f t="shared" ref="AN36:AN64" si="41">AK36/AM36</f>
        <v>0.85258589055179856</v>
      </c>
      <c r="AO36" s="170">
        <f>'2020 RAW DATA'!N5</f>
        <v>2404373</v>
      </c>
      <c r="AP36" s="171">
        <f>'2020 RAW DATA'!M5</f>
        <v>165336</v>
      </c>
      <c r="AQ36" s="171">
        <f>AO36+AP36</f>
        <v>2569709</v>
      </c>
      <c r="AR36" s="166">
        <f>AO36/AQ36</f>
        <v>0.93565964083870978</v>
      </c>
      <c r="AS36" s="257">
        <f>AK36*(100%+AH36)</f>
        <v>1625872.1036</v>
      </c>
      <c r="AT36" s="256">
        <f>+AG36*((100%+AH36)^2)</f>
        <v>183748.57279999999</v>
      </c>
      <c r="AU36" s="354">
        <f>+AW36-AV36</f>
        <v>1624480.4346999999</v>
      </c>
      <c r="AV36" s="258">
        <f>AL36*((100%+(AH36*1.5)))</f>
        <v>282508.7867</v>
      </c>
      <c r="AW36" s="355">
        <f t="shared" ref="AW36:AW60" si="42">AB36*(100%+AH36)^2</f>
        <v>1906989.2213999999</v>
      </c>
      <c r="AX36" s="259">
        <f>AU36/AW36</f>
        <v>0.85185611773274805</v>
      </c>
      <c r="AY36" s="170">
        <f>'2021 RAW Data'!N5</f>
        <v>2489187</v>
      </c>
      <c r="AZ36" s="171">
        <f>'2021 RAW Data'!M5</f>
        <v>123477</v>
      </c>
      <c r="BA36" s="171">
        <f>AY36+AZ36</f>
        <v>2612664</v>
      </c>
      <c r="BB36" s="166">
        <f>AY36/BA36</f>
        <v>0.95273904336722981</v>
      </c>
      <c r="BC36" s="257">
        <f>AU36*(100%+AH36)</f>
        <v>1640725.239047</v>
      </c>
      <c r="BD36" s="256">
        <f>+AG36*((100%+AH36)^3)</f>
        <v>185586.05852799999</v>
      </c>
      <c r="BE36" s="354">
        <f>+BG36-BF36</f>
        <v>1639312.6951134999</v>
      </c>
      <c r="BF36" s="258">
        <f>AV36*((100%+(AH36*1.5)))</f>
        <v>286746.41850049997</v>
      </c>
      <c r="BG36" s="257">
        <f t="shared" ref="BG36:BG60" si="43">AB36*(100%+AH36)^3</f>
        <v>1926059.1136139999</v>
      </c>
      <c r="BH36" s="261">
        <f>BE36/BG36</f>
        <v>0.85112273217696954</v>
      </c>
      <c r="BI36" s="255">
        <f>BE36*(100%+AH36)</f>
        <v>1655705.8220646349</v>
      </c>
      <c r="BJ36" s="315">
        <f>+AG36*((100%+AH36)^4)</f>
        <v>187441.91911328002</v>
      </c>
      <c r="BK36" s="258">
        <f t="shared" ref="BK36:BK41" si="44">+BM36-BL36</f>
        <v>1654272.0899721326</v>
      </c>
      <c r="BL36" s="258">
        <f>BF36*((100%+(AH36*1.5)))</f>
        <v>291047.61477800744</v>
      </c>
      <c r="BM36" s="258">
        <f>AB36*(100%+AH36)^4</f>
        <v>1945319.70475014</v>
      </c>
      <c r="BN36" s="259">
        <f>BK36/BM36</f>
        <v>0.85038571599962798</v>
      </c>
      <c r="BO36" s="255">
        <f>BK36*(100%+AH36)</f>
        <v>1670814.810871854</v>
      </c>
      <c r="BP36" s="315">
        <f>+AG36*((100%+AH36)^5)</f>
        <v>189316.33830441278</v>
      </c>
      <c r="BQ36" s="258">
        <f t="shared" ref="BQ36:BQ41" si="45">+BS36-BR36</f>
        <v>1669359.5727979639</v>
      </c>
      <c r="BR36" s="258">
        <f>BL36*((100%+(AH36*1.5)))</f>
        <v>295413.3289996775</v>
      </c>
      <c r="BS36" s="258">
        <f>AB36*(100%+AH36)^5</f>
        <v>1964772.9017976413</v>
      </c>
      <c r="BT36" s="259">
        <f>BQ36/BS36</f>
        <v>0.8496450512273489</v>
      </c>
      <c r="BU36" s="255">
        <f>BQ36*(100%+AH36)</f>
        <v>1686053.1685259435</v>
      </c>
      <c r="BV36" s="315">
        <f>+AG36*((100%+AH36)^6)</f>
        <v>191209.50168745694</v>
      </c>
      <c r="BW36" s="258">
        <f>+BY36-BX36</f>
        <v>1684576.1018809453</v>
      </c>
      <c r="BX36" s="258">
        <f>BR36*((100%+(AH36*1.5)))</f>
        <v>299844.52893467265</v>
      </c>
      <c r="BY36" s="258">
        <f>AB36*(100%+AH36)^6</f>
        <v>1984420.630815618</v>
      </c>
      <c r="BZ36" s="259">
        <f>BW36/BY36</f>
        <v>0.84890071979778126</v>
      </c>
      <c r="CA36" s="255">
        <f>BW36*(100%+AH36)</f>
        <v>1701421.8628997547</v>
      </c>
      <c r="CB36" s="315">
        <f>+AG36*((100%+AH36)^7)</f>
        <v>193121.59670433146</v>
      </c>
      <c r="CC36" s="258">
        <f>+CE36-CD36</f>
        <v>1699922.640255081</v>
      </c>
      <c r="CD36" s="258">
        <f>BX36*((100%+(AH36*1.5)))</f>
        <v>304342.1968686927</v>
      </c>
      <c r="CE36" s="258">
        <f>AB36*(100%+AH36)^7</f>
        <v>2004264.8371237738</v>
      </c>
      <c r="CF36" s="259">
        <f>CC36/CE36</f>
        <v>0.8481527035591564</v>
      </c>
    </row>
    <row r="37" spans="1:93" x14ac:dyDescent="0.35">
      <c r="A37" s="56" t="s">
        <v>72</v>
      </c>
      <c r="B37" s="309">
        <f>'2014 RAW DATA'!N6</f>
        <v>1719116.3328767123</v>
      </c>
      <c r="C37" s="341">
        <f>'2014 RAW DATA'!M6</f>
        <v>594239.47397260275</v>
      </c>
      <c r="D37" s="310">
        <f t="shared" ref="D37:D60" si="46">+B37++C37</f>
        <v>2313355.8068493148</v>
      </c>
      <c r="E37" s="167">
        <f t="shared" ref="E37:E64" si="47">B37/D37</f>
        <v>0.74312664216494673</v>
      </c>
      <c r="F37" s="173">
        <f>'2015 RAW DATA'!N6</f>
        <v>1860022.4320079999</v>
      </c>
      <c r="G37" s="293">
        <f>'2015 RAW DATA'!M6</f>
        <v>635907.43481999985</v>
      </c>
      <c r="H37" s="172">
        <f t="shared" ref="H37:H60" si="48">+F37++G37</f>
        <v>2495929.8668279997</v>
      </c>
      <c r="I37" s="167">
        <f t="shared" ref="I37:I64" si="49">F37/H37</f>
        <v>0.74522223429773093</v>
      </c>
      <c r="J37" s="173">
        <f>'2016 RAW DATA'!N6</f>
        <v>1908712.2384840001</v>
      </c>
      <c r="K37" s="293">
        <f>'2016 RAW DATA'!M6</f>
        <v>711473.66896799987</v>
      </c>
      <c r="L37" s="172">
        <f t="shared" ref="L37:L60" si="50">+J37++K37</f>
        <v>2620185.9074519998</v>
      </c>
      <c r="M37" s="167">
        <f t="shared" ref="M37:M64" si="51">J37/L37</f>
        <v>0.72846443187694554</v>
      </c>
      <c r="N37" s="173">
        <f>+'2017 RAW DATA'!N6</f>
        <v>1713049</v>
      </c>
      <c r="O37" s="293">
        <f>+'2017 RAW DATA'!M6</f>
        <v>215697</v>
      </c>
      <c r="P37" s="172">
        <f t="shared" ref="P37:P60" si="52">+N37++O37</f>
        <v>1928746</v>
      </c>
      <c r="Q37" s="167">
        <f t="shared" ref="Q37:Q64" si="53">N37/P37</f>
        <v>0.88816723404740694</v>
      </c>
      <c r="R37" s="165">
        <f>'2017 NEW RAW DATA '!N6</f>
        <v>1653427</v>
      </c>
      <c r="S37" s="165">
        <f>'2017 NEW RAW DATA '!M6</f>
        <v>209046</v>
      </c>
      <c r="T37" s="165">
        <f t="shared" ref="T37:T64" si="54">R37+S37</f>
        <v>1862473</v>
      </c>
      <c r="U37" s="167">
        <f t="shared" ref="U37:U64" si="55">R37/T37</f>
        <v>0.88775890979359162</v>
      </c>
      <c r="V37" s="165">
        <f>'2018 RAW DATA'!N6</f>
        <v>1737014</v>
      </c>
      <c r="W37" s="165">
        <f>'2018 RAW DATA'!M6</f>
        <v>95889</v>
      </c>
      <c r="X37" s="165">
        <f t="shared" ref="X37:X64" si="56">V37+W37</f>
        <v>1832903</v>
      </c>
      <c r="Y37" s="167">
        <f t="shared" ref="Y37:Y64" si="57">V37/X37</f>
        <v>0.94768462924661045</v>
      </c>
      <c r="Z37" s="165">
        <f>'2019 RAW DATA'!N6</f>
        <v>1805566</v>
      </c>
      <c r="AA37" s="165">
        <f>'2019 RAW DATA'!M6</f>
        <v>80714</v>
      </c>
      <c r="AB37" s="165">
        <f t="shared" ref="AB37:AB64" si="58">Z37+AA37</f>
        <v>1886280</v>
      </c>
      <c r="AC37" s="239">
        <f t="shared" ref="AC37:AC64" si="59">Z37/AB37</f>
        <v>0.95720995822465382</v>
      </c>
      <c r="AD37" s="239"/>
      <c r="AE37" s="239"/>
      <c r="AF37" s="239"/>
      <c r="AG37" s="464">
        <v>120027</v>
      </c>
      <c r="AH37" s="339">
        <v>0.03</v>
      </c>
      <c r="AI37" s="348">
        <f t="shared" si="38"/>
        <v>1859732.98</v>
      </c>
      <c r="AJ37" s="116">
        <f t="shared" ref="AJ37:AJ64" si="60">+AG37*((100%+AH37)^1)</f>
        <v>123627.81</v>
      </c>
      <c r="AK37" s="345">
        <f t="shared" ref="AK37:AK64" si="61">AI37-AJ37</f>
        <v>1736105.17</v>
      </c>
      <c r="AL37" s="345">
        <f t="shared" si="39"/>
        <v>206763.22999999998</v>
      </c>
      <c r="AM37" s="345">
        <f t="shared" si="40"/>
        <v>1942868.4000000001</v>
      </c>
      <c r="AN37" s="349">
        <f t="shared" si="41"/>
        <v>0.89357836588417405</v>
      </c>
      <c r="AO37" s="173">
        <f>'2020 RAW DATA'!N6</f>
        <v>4415745</v>
      </c>
      <c r="AP37" s="172">
        <f>'2020 RAW DATA'!M6</f>
        <v>139031</v>
      </c>
      <c r="AQ37" s="172">
        <f t="shared" ref="AQ37:AQ64" si="62">AO37+AP37</f>
        <v>4554776</v>
      </c>
      <c r="AR37" s="167">
        <f t="shared" ref="AR37:AR64" si="63">AO37/AQ37</f>
        <v>0.96947577663533835</v>
      </c>
      <c r="AS37" s="257">
        <f t="shared" ref="AS37:AS64" si="64">AK37*(100%+AH37)</f>
        <v>1788188.3251</v>
      </c>
      <c r="AT37" s="256">
        <f t="shared" ref="AT37:AT64" si="65">+AG37*((100%+AH37)^2)</f>
        <v>127336.6443</v>
      </c>
      <c r="AU37" s="354">
        <f t="shared" ref="AU37:AU64" si="66">+AW37-AV37</f>
        <v>1785086.8766499998</v>
      </c>
      <c r="AV37" s="257">
        <f t="shared" ref="AV37:AV64" si="67">AL37*((100%+(AH37*1.5)))</f>
        <v>216067.57534999997</v>
      </c>
      <c r="AW37" s="354">
        <f t="shared" si="42"/>
        <v>2001154.4519999998</v>
      </c>
      <c r="AX37" s="261">
        <f>AU37/AW37</f>
        <v>0.8920285362611281</v>
      </c>
      <c r="AY37" s="173">
        <f>'2021 RAW Data'!N6</f>
        <v>3735808</v>
      </c>
      <c r="AZ37" s="172">
        <f>'2021 RAW Data'!M6</f>
        <v>100481</v>
      </c>
      <c r="BA37" s="172">
        <f>AY37+AZ37</f>
        <v>3836289</v>
      </c>
      <c r="BB37" s="167">
        <f t="shared" ref="BB37:BB64" si="68">AY37/BA37</f>
        <v>0.97380776057278273</v>
      </c>
      <c r="BC37" s="257">
        <f t="shared" ref="BC37:BC64" si="69">AU37*(100%+AH37)</f>
        <v>1838639.4829494997</v>
      </c>
      <c r="BD37" s="256">
        <f t="shared" ref="BD37:BD64" si="70">+AG37*((100%+AH37)^3)</f>
        <v>131156.743629</v>
      </c>
      <c r="BE37" s="354">
        <f t="shared" ref="BE37:BE64" si="71">+BG37-BF37</f>
        <v>1835398.46931925</v>
      </c>
      <c r="BF37" s="257">
        <f t="shared" ref="BF37:BF64" si="72">AV37*((100%+(AH37*1.5)))</f>
        <v>225790.61624074995</v>
      </c>
      <c r="BG37" s="257">
        <f t="shared" si="43"/>
        <v>2061189.08556</v>
      </c>
      <c r="BH37" s="261">
        <f t="shared" ref="BH37:BH64" si="73">BE37/BG37</f>
        <v>0.89045613630376586</v>
      </c>
      <c r="BI37" s="260">
        <f t="shared" ref="BI37:BI64" si="74">BE37*(100%+AH37)</f>
        <v>1890460.4233988274</v>
      </c>
      <c r="BJ37" s="256">
        <f t="shared" ref="BJ37:BJ64" si="75">+AG37*((100%+AH37)^4)</f>
        <v>135091.44593786998</v>
      </c>
      <c r="BK37" s="257">
        <f t="shared" si="44"/>
        <v>1887073.5641552163</v>
      </c>
      <c r="BL37" s="257">
        <f t="shared" ref="BL37:BL64" si="76">BF37*((100%+(AH37*1.5)))</f>
        <v>235951.19397158368</v>
      </c>
      <c r="BM37" s="257">
        <f>AB37*(100%+AH37)^4</f>
        <v>2123024.7581267999</v>
      </c>
      <c r="BN37" s="261">
        <f t="shared" ref="BN37:BN64" si="77">BK37/BM37</f>
        <v>0.88886083731789844</v>
      </c>
      <c r="BO37" s="260">
        <f t="shared" ref="BO37:BO64" si="78">BK37*(100%+AH37)</f>
        <v>1943685.771079873</v>
      </c>
      <c r="BP37" s="256">
        <f t="shared" ref="BP37:BP64" si="79">+AG37*((100%+AH37)^5)</f>
        <v>139144.18931600609</v>
      </c>
      <c r="BQ37" s="257">
        <f t="shared" si="45"/>
        <v>1940146.5031702986</v>
      </c>
      <c r="BR37" s="257">
        <f t="shared" ref="BR37:BR64" si="80">BL37*((100%+(AH37*1.5)))</f>
        <v>246568.99770030493</v>
      </c>
      <c r="BS37" s="257">
        <f t="shared" ref="BS37:BS64" si="81">AB37*(100%+AH37)^5</f>
        <v>2186715.5008706036</v>
      </c>
      <c r="BT37" s="261">
        <f t="shared" ref="BT37:BT64" si="82">BQ37/BS37</f>
        <v>0.88724230582252805</v>
      </c>
      <c r="BU37" s="260">
        <f t="shared" ref="BU37:BU64" si="83">BQ37*(100%+AH37)</f>
        <v>1998350.8982654077</v>
      </c>
      <c r="BV37" s="256">
        <f t="shared" ref="BV37:BV63" si="84">+AG37*((100%+AH37)^6)</f>
        <v>143318.51499548627</v>
      </c>
      <c r="BW37" s="257">
        <f t="shared" ref="BW37:BW64" si="85">+BY37-BX37</f>
        <v>1994652.3632999032</v>
      </c>
      <c r="BX37" s="257">
        <f t="shared" ref="BX37:BX64" si="86">BR37*((100%+(AH37*1.5)))</f>
        <v>257664.60259681864</v>
      </c>
      <c r="BY37" s="257">
        <f t="shared" ref="BY37:BY64" si="87">AB37*(100%+AH37)^6</f>
        <v>2252316.9658967219</v>
      </c>
      <c r="BZ37" s="261">
        <f t="shared" ref="BZ37:BZ64" si="88">BW37/BY37</f>
        <v>0.88560020348013768</v>
      </c>
      <c r="CA37" s="260">
        <f t="shared" ref="CA37:CA64" si="89">BW37*(100%+AH37)</f>
        <v>2054491.9341989004</v>
      </c>
      <c r="CB37" s="256">
        <f t="shared" ref="CB37:CB64" si="90">+AG37*((100%+AH37)^7)</f>
        <v>147618.07044535087</v>
      </c>
      <c r="CC37" s="257">
        <f t="shared" ref="CC37:CC64" si="91">+CE37-CD37</f>
        <v>2050626.9651599484</v>
      </c>
      <c r="CD37" s="257">
        <f t="shared" ref="CD37:CD63" si="92">BX37*((100%+(AH37*1.5)))</f>
        <v>269259.50971367548</v>
      </c>
      <c r="CE37" s="257">
        <f t="shared" ref="CE37:CE63" si="93">AB37*(100%+AH37)^7</f>
        <v>2319886.4748736238</v>
      </c>
      <c r="CF37" s="261">
        <f t="shared" ref="CF37:CF64" si="94">CC37/CE37</f>
        <v>0.88393418702596505</v>
      </c>
    </row>
    <row r="38" spans="1:93" x14ac:dyDescent="0.35">
      <c r="A38" s="56" t="s">
        <v>73</v>
      </c>
      <c r="B38" s="309">
        <f>'2014 RAW DATA'!N7</f>
        <v>19857252.441095889</v>
      </c>
      <c r="C38" s="341">
        <f>'2014 RAW DATA'!M7</f>
        <v>15225387.934246575</v>
      </c>
      <c r="D38" s="310">
        <f t="shared" si="46"/>
        <v>35082640.375342466</v>
      </c>
      <c r="E38" s="167">
        <f t="shared" si="47"/>
        <v>0.56601362464874194</v>
      </c>
      <c r="F38" s="173">
        <f>'2015 RAW DATA'!N7</f>
        <v>19548158.508743979</v>
      </c>
      <c r="G38" s="293">
        <f>'2015 RAW DATA'!M7</f>
        <v>16750942.081050012</v>
      </c>
      <c r="H38" s="172">
        <f t="shared" si="48"/>
        <v>36299100.589793995</v>
      </c>
      <c r="I38" s="167">
        <f t="shared" si="49"/>
        <v>0.53853010656248101</v>
      </c>
      <c r="J38" s="173">
        <f>'2016 RAW DATA'!N7</f>
        <v>22377883.774038006</v>
      </c>
      <c r="K38" s="293">
        <f>'2016 RAW DATA'!M7</f>
        <v>17538034.762194004</v>
      </c>
      <c r="L38" s="172">
        <f t="shared" si="50"/>
        <v>39915918.53623201</v>
      </c>
      <c r="M38" s="167">
        <f t="shared" si="51"/>
        <v>0.56062554977221468</v>
      </c>
      <c r="N38" s="173">
        <f>+'2017 RAW DATA'!N7</f>
        <v>28786197</v>
      </c>
      <c r="O38" s="293">
        <f>+'2017 RAW DATA'!M7</f>
        <v>10750242</v>
      </c>
      <c r="P38" s="172">
        <f t="shared" si="52"/>
        <v>39536439</v>
      </c>
      <c r="Q38" s="167">
        <f t="shared" si="53"/>
        <v>0.72809281078652532</v>
      </c>
      <c r="R38" s="165">
        <f>'2017 NEW RAW DATA '!N7</f>
        <v>30113207</v>
      </c>
      <c r="S38" s="165">
        <f>'2017 NEW RAW DATA '!M7</f>
        <v>9822177</v>
      </c>
      <c r="T38" s="165">
        <f t="shared" si="54"/>
        <v>39935384</v>
      </c>
      <c r="U38" s="167">
        <f t="shared" si="55"/>
        <v>0.75404826456658081</v>
      </c>
      <c r="V38" s="165">
        <f>'2018 RAW DATA'!N7</f>
        <v>30291187</v>
      </c>
      <c r="W38" s="165">
        <f>'2018 RAW DATA'!M7</f>
        <v>8809547</v>
      </c>
      <c r="X38" s="165">
        <f t="shared" si="56"/>
        <v>39100734</v>
      </c>
      <c r="Y38" s="167">
        <f t="shared" si="57"/>
        <v>0.77469612207279792</v>
      </c>
      <c r="Z38" s="165">
        <f>'2019 RAW DATA'!N7</f>
        <v>29190203</v>
      </c>
      <c r="AA38" s="165">
        <f>'2019 RAW DATA'!M7</f>
        <v>8248725</v>
      </c>
      <c r="AB38" s="165">
        <f t="shared" si="58"/>
        <v>37438928</v>
      </c>
      <c r="AC38" s="239">
        <f t="shared" si="59"/>
        <v>0.77967518193897001</v>
      </c>
      <c r="AD38" s="239"/>
      <c r="AE38" s="239"/>
      <c r="AF38" s="239"/>
      <c r="AG38" s="464">
        <v>3658890</v>
      </c>
      <c r="AH38" s="339">
        <v>0.04</v>
      </c>
      <c r="AI38" s="348">
        <f t="shared" si="38"/>
        <v>30357811.120000001</v>
      </c>
      <c r="AJ38" s="116">
        <f t="shared" si="60"/>
        <v>3805245.6</v>
      </c>
      <c r="AK38" s="345">
        <f t="shared" si="61"/>
        <v>26552565.52</v>
      </c>
      <c r="AL38" s="345">
        <f t="shared" si="39"/>
        <v>12383919.6</v>
      </c>
      <c r="AM38" s="345">
        <f t="shared" si="40"/>
        <v>38936485.120000005</v>
      </c>
      <c r="AN38" s="349">
        <f t="shared" si="41"/>
        <v>0.68194562087888833</v>
      </c>
      <c r="AO38" s="173">
        <f>'2020 RAW DATA'!N7</f>
        <v>46110900</v>
      </c>
      <c r="AP38" s="172">
        <f>'2020 RAW DATA'!M7</f>
        <v>3316634</v>
      </c>
      <c r="AQ38" s="172">
        <f>AO38+AP38</f>
        <v>49427534</v>
      </c>
      <c r="AR38" s="167">
        <f t="shared" si="63"/>
        <v>0.93289905986408306</v>
      </c>
      <c r="AS38" s="257">
        <f t="shared" si="64"/>
        <v>27614668.140799999</v>
      </c>
      <c r="AT38" s="256">
        <f t="shared" si="65"/>
        <v>3957455.4240000006</v>
      </c>
      <c r="AU38" s="354">
        <f t="shared" si="66"/>
        <v>27366989.748800002</v>
      </c>
      <c r="AV38" s="257">
        <f t="shared" si="67"/>
        <v>13126954.776000001</v>
      </c>
      <c r="AW38" s="354">
        <f t="shared" si="42"/>
        <v>40493944.524800003</v>
      </c>
      <c r="AX38" s="261">
        <f t="shared" ref="AX38:AX64" si="95">AU38/AW38</f>
        <v>0.67582919051117474</v>
      </c>
      <c r="AY38" s="173">
        <f>'2021 RAW Data'!N7</f>
        <v>45206109</v>
      </c>
      <c r="AZ38" s="172">
        <f>'2021 RAW Data'!M7</f>
        <v>4569278</v>
      </c>
      <c r="BA38" s="172">
        <f>AY38+AZ38</f>
        <v>49775387</v>
      </c>
      <c r="BB38" s="167">
        <f t="shared" si="68"/>
        <v>0.90820205978509017</v>
      </c>
      <c r="BC38" s="257">
        <f t="shared" si="69"/>
        <v>28461669.338752002</v>
      </c>
      <c r="BD38" s="256">
        <f t="shared" si="70"/>
        <v>4115753.6409600005</v>
      </c>
      <c r="BE38" s="354">
        <f t="shared" si="71"/>
        <v>28199130.243232004</v>
      </c>
      <c r="BF38" s="257">
        <f t="shared" si="72"/>
        <v>13914572.062560001</v>
      </c>
      <c r="BG38" s="257">
        <f t="shared" si="43"/>
        <v>42113702.305792004</v>
      </c>
      <c r="BH38" s="261">
        <f t="shared" si="73"/>
        <v>0.66959513648254354</v>
      </c>
      <c r="BI38" s="260">
        <f t="shared" si="74"/>
        <v>29327095.452961285</v>
      </c>
      <c r="BJ38" s="256">
        <f t="shared" si="75"/>
        <v>4280383.7865984011</v>
      </c>
      <c r="BK38" s="257">
        <f t="shared" si="44"/>
        <v>29048804.011710085</v>
      </c>
      <c r="BL38" s="257">
        <f t="shared" si="76"/>
        <v>14749446.386313602</v>
      </c>
      <c r="BM38" s="257">
        <f t="shared" ref="BM38:BM64" si="96">AB38*(100%+AH38)^4</f>
        <v>43798250.398023687</v>
      </c>
      <c r="BN38" s="261">
        <f t="shared" si="77"/>
        <v>0.66324119679951543</v>
      </c>
      <c r="BO38" s="260">
        <f t="shared" si="78"/>
        <v>30210756.172178488</v>
      </c>
      <c r="BP38" s="256">
        <f t="shared" si="79"/>
        <v>4451599.1380623374</v>
      </c>
      <c r="BQ38" s="257">
        <f t="shared" si="45"/>
        <v>29915767.244452219</v>
      </c>
      <c r="BR38" s="257">
        <f t="shared" si="80"/>
        <v>15634413.16949242</v>
      </c>
      <c r="BS38" s="257">
        <f t="shared" si="81"/>
        <v>45550180.413944639</v>
      </c>
      <c r="BT38" s="261">
        <f t="shared" si="82"/>
        <v>0.65676506596873696</v>
      </c>
      <c r="BU38" s="260">
        <f t="shared" si="83"/>
        <v>31112397.934230309</v>
      </c>
      <c r="BV38" s="256">
        <f t="shared" si="84"/>
        <v>4629663.1035848306</v>
      </c>
      <c r="BW38" s="257">
        <f t="shared" si="85"/>
        <v>30799709.670840457</v>
      </c>
      <c r="BX38" s="257">
        <f t="shared" si="86"/>
        <v>16572477.959661966</v>
      </c>
      <c r="BY38" s="257">
        <f t="shared" si="87"/>
        <v>47372187.630502425</v>
      </c>
      <c r="BZ38" s="261">
        <f t="shared" si="88"/>
        <v>0.65016439416044336</v>
      </c>
      <c r="CA38" s="260">
        <f t="shared" si="89"/>
        <v>32031698.057674076</v>
      </c>
      <c r="CB38" s="256">
        <f t="shared" si="90"/>
        <v>4814849.6277282238</v>
      </c>
      <c r="CC38" s="257">
        <f t="shared" si="91"/>
        <v>31700248.498480834</v>
      </c>
      <c r="CD38" s="257">
        <f t="shared" si="92"/>
        <v>17566826.637241684</v>
      </c>
      <c r="CE38" s="257">
        <f t="shared" si="93"/>
        <v>49267075.135722518</v>
      </c>
      <c r="CF38" s="261">
        <f t="shared" si="94"/>
        <v>0.64343678635583645</v>
      </c>
    </row>
    <row r="39" spans="1:93" x14ac:dyDescent="0.35">
      <c r="A39" s="56" t="s">
        <v>74</v>
      </c>
      <c r="B39" s="309">
        <f>'2014 RAW DATA'!N8</f>
        <v>5309184.6273972606</v>
      </c>
      <c r="C39" s="341">
        <f>'2014 RAW DATA'!M8</f>
        <v>2325428.2364383559</v>
      </c>
      <c r="D39" s="310">
        <f t="shared" si="46"/>
        <v>7634612.863835616</v>
      </c>
      <c r="E39" s="167">
        <f t="shared" si="47"/>
        <v>0.69540980297066901</v>
      </c>
      <c r="F39" s="173">
        <f>'2015 RAW DATA'!N8</f>
        <v>5512204.9251000015</v>
      </c>
      <c r="G39" s="293">
        <f>'2015 RAW DATA'!M8</f>
        <v>2532861.1496760007</v>
      </c>
      <c r="H39" s="172">
        <f t="shared" si="48"/>
        <v>8045066.0747760022</v>
      </c>
      <c r="I39" s="167">
        <f t="shared" si="49"/>
        <v>0.68516589843589037</v>
      </c>
      <c r="J39" s="173">
        <f>'2016 RAW DATA'!N8</f>
        <v>6049482.5684520015</v>
      </c>
      <c r="K39" s="293">
        <f>'2016 RAW DATA'!M8</f>
        <v>2710451.7056219988</v>
      </c>
      <c r="L39" s="172">
        <f t="shared" si="50"/>
        <v>8759934.2740739994</v>
      </c>
      <c r="M39" s="167">
        <f t="shared" si="51"/>
        <v>0.69058538331230623</v>
      </c>
      <c r="N39" s="173">
        <f>+'2017 RAW DATA'!N8</f>
        <v>6819800</v>
      </c>
      <c r="O39" s="293">
        <f>+'2017 RAW DATA'!M8</f>
        <v>770235</v>
      </c>
      <c r="P39" s="172">
        <f t="shared" si="52"/>
        <v>7590035</v>
      </c>
      <c r="Q39" s="167">
        <f t="shared" si="53"/>
        <v>0.89852023080262478</v>
      </c>
      <c r="R39" s="165">
        <f>'2017 NEW RAW DATA '!N8</f>
        <v>6290393</v>
      </c>
      <c r="S39" s="165">
        <f>'2017 NEW RAW DATA '!M8</f>
        <v>704966</v>
      </c>
      <c r="T39" s="165">
        <f t="shared" si="54"/>
        <v>6995359</v>
      </c>
      <c r="U39" s="167">
        <f t="shared" si="55"/>
        <v>0.8992237567793161</v>
      </c>
      <c r="V39" s="165">
        <f>'2018 RAW DATA'!N8</f>
        <v>6841450</v>
      </c>
      <c r="W39" s="165">
        <f>'2018 RAW DATA'!M8</f>
        <v>580668</v>
      </c>
      <c r="X39" s="165">
        <f t="shared" si="56"/>
        <v>7422118</v>
      </c>
      <c r="Y39" s="167">
        <f t="shared" si="57"/>
        <v>0.92176518885849024</v>
      </c>
      <c r="Z39" s="165">
        <f>'2019 RAW DATA'!N8</f>
        <v>6636629</v>
      </c>
      <c r="AA39" s="165">
        <f>'2019 RAW DATA'!M8</f>
        <v>681485</v>
      </c>
      <c r="AB39" s="165">
        <f t="shared" si="58"/>
        <v>7318114</v>
      </c>
      <c r="AC39" s="239">
        <f t="shared" si="59"/>
        <v>0.90687696310825439</v>
      </c>
      <c r="AD39" s="239"/>
      <c r="AE39" s="239"/>
      <c r="AF39" s="239"/>
      <c r="AG39" s="464">
        <v>550106</v>
      </c>
      <c r="AH39" s="339">
        <v>0.02</v>
      </c>
      <c r="AI39" s="348">
        <f t="shared" si="38"/>
        <v>6769361.5800000001</v>
      </c>
      <c r="AJ39" s="116">
        <f t="shared" si="60"/>
        <v>561108.12</v>
      </c>
      <c r="AK39" s="345">
        <f t="shared" si="61"/>
        <v>6208253.46</v>
      </c>
      <c r="AL39" s="345">
        <f t="shared" si="39"/>
        <v>1256222.82</v>
      </c>
      <c r="AM39" s="345">
        <f t="shared" si="40"/>
        <v>7464476.2800000003</v>
      </c>
      <c r="AN39" s="349">
        <f t="shared" si="41"/>
        <v>0.83170650252237122</v>
      </c>
      <c r="AO39" s="173">
        <f>'2020 RAW DATA'!N8</f>
        <v>10160353</v>
      </c>
      <c r="AP39" s="172">
        <f>'2020 RAW DATA'!M8</f>
        <v>555374</v>
      </c>
      <c r="AQ39" s="172">
        <f t="shared" si="62"/>
        <v>10715727</v>
      </c>
      <c r="AR39" s="167">
        <f t="shared" si="63"/>
        <v>0.94817206522711894</v>
      </c>
      <c r="AS39" s="257">
        <f t="shared" si="64"/>
        <v>6332418.5291999998</v>
      </c>
      <c r="AT39" s="256">
        <f t="shared" si="65"/>
        <v>572330.28240000003</v>
      </c>
      <c r="AU39" s="354">
        <f t="shared" si="66"/>
        <v>6319856.300999999</v>
      </c>
      <c r="AV39" s="257">
        <f t="shared" si="67"/>
        <v>1293909.5046000001</v>
      </c>
      <c r="AW39" s="354">
        <f t="shared" si="42"/>
        <v>7613765.8055999996</v>
      </c>
      <c r="AX39" s="261">
        <f t="shared" si="95"/>
        <v>0.83005656627259039</v>
      </c>
      <c r="AY39" s="173">
        <f>'2021 RAW Data'!N8</f>
        <v>9258342</v>
      </c>
      <c r="AZ39" s="172">
        <f>'2021 RAW Data'!M8</f>
        <v>644199</v>
      </c>
      <c r="BA39" s="172">
        <f t="shared" ref="BA39:BA64" si="97">AY39+AZ39</f>
        <v>9902541</v>
      </c>
      <c r="BB39" s="167">
        <f t="shared" si="68"/>
        <v>0.93494609110934257</v>
      </c>
      <c r="BC39" s="257">
        <f t="shared" si="69"/>
        <v>6446253.4270199994</v>
      </c>
      <c r="BD39" s="256">
        <f t="shared" si="70"/>
        <v>583776.88804799994</v>
      </c>
      <c r="BE39" s="354">
        <f t="shared" si="71"/>
        <v>6433314.3319739988</v>
      </c>
      <c r="BF39" s="257">
        <f t="shared" si="72"/>
        <v>1332726.7897380001</v>
      </c>
      <c r="BG39" s="257">
        <f t="shared" si="43"/>
        <v>7766041.1217119992</v>
      </c>
      <c r="BH39" s="261">
        <f t="shared" si="73"/>
        <v>0.82839045417722368</v>
      </c>
      <c r="BI39" s="260">
        <f t="shared" si="74"/>
        <v>6561980.6186134787</v>
      </c>
      <c r="BJ39" s="256">
        <f t="shared" si="75"/>
        <v>595452.42580895999</v>
      </c>
      <c r="BK39" s="257">
        <f t="shared" si="44"/>
        <v>6548653.3507161001</v>
      </c>
      <c r="BL39" s="257">
        <f t="shared" si="76"/>
        <v>1372708.5934301403</v>
      </c>
      <c r="BM39" s="257">
        <f t="shared" si="96"/>
        <v>7921361.9441462401</v>
      </c>
      <c r="BN39" s="261">
        <f t="shared" si="77"/>
        <v>0.82670800764954944</v>
      </c>
      <c r="BO39" s="260">
        <f t="shared" si="78"/>
        <v>6679626.4177304218</v>
      </c>
      <c r="BP39" s="256">
        <f t="shared" si="79"/>
        <v>607361.47432513919</v>
      </c>
      <c r="BQ39" s="257">
        <f t="shared" si="45"/>
        <v>6665899.3317961199</v>
      </c>
      <c r="BR39" s="257">
        <f t="shared" si="80"/>
        <v>1413889.8512330446</v>
      </c>
      <c r="BS39" s="257">
        <f t="shared" si="81"/>
        <v>8079789.1830291646</v>
      </c>
      <c r="BT39" s="261">
        <f t="shared" si="82"/>
        <v>0.82500906654807438</v>
      </c>
      <c r="BU39" s="260">
        <f t="shared" si="83"/>
        <v>6799217.3184320424</v>
      </c>
      <c r="BV39" s="256">
        <f t="shared" si="84"/>
        <v>619508.70381164202</v>
      </c>
      <c r="BW39" s="257">
        <f t="shared" si="85"/>
        <v>6785078.4199197125</v>
      </c>
      <c r="BX39" s="257">
        <f t="shared" si="86"/>
        <v>1456306.546770036</v>
      </c>
      <c r="BY39" s="257">
        <f t="shared" si="87"/>
        <v>8241384.9666897487</v>
      </c>
      <c r="BZ39" s="261">
        <f t="shared" si="88"/>
        <v>0.82329346916129087</v>
      </c>
      <c r="CA39" s="260">
        <f t="shared" si="89"/>
        <v>6920779.9883181071</v>
      </c>
      <c r="CB39" s="256">
        <f t="shared" si="90"/>
        <v>631898.87788787473</v>
      </c>
      <c r="CC39" s="257">
        <f t="shared" si="91"/>
        <v>6906216.9228504039</v>
      </c>
      <c r="CD39" s="257">
        <f t="shared" si="92"/>
        <v>1499995.7431731371</v>
      </c>
      <c r="CE39" s="257">
        <f t="shared" si="93"/>
        <v>8406212.6660235412</v>
      </c>
      <c r="CF39" s="261">
        <f t="shared" si="94"/>
        <v>0.82156105219228381</v>
      </c>
      <c r="CO39">
        <v>21</v>
      </c>
    </row>
    <row r="40" spans="1:93" x14ac:dyDescent="0.35">
      <c r="A40" s="56" t="s">
        <v>75</v>
      </c>
      <c r="B40" s="309">
        <f>'2014 RAW DATA'!N9</f>
        <v>2727793.6191780823</v>
      </c>
      <c r="C40" s="341">
        <f>'2014 RAW DATA'!M9</f>
        <v>2432960.2257534247</v>
      </c>
      <c r="D40" s="310">
        <f t="shared" si="46"/>
        <v>5160753.8449315075</v>
      </c>
      <c r="E40" s="167">
        <f t="shared" si="47"/>
        <v>0.52856495410202708</v>
      </c>
      <c r="F40" s="173">
        <f>'2015 RAW DATA'!N9</f>
        <v>2756327.8325699987</v>
      </c>
      <c r="G40" s="293">
        <f>'2015 RAW DATA'!M9</f>
        <v>2723814.309497999</v>
      </c>
      <c r="H40" s="172">
        <f t="shared" si="48"/>
        <v>5480142.1420679977</v>
      </c>
      <c r="I40" s="167">
        <f t="shared" si="49"/>
        <v>0.50296648537840027</v>
      </c>
      <c r="J40" s="173">
        <f>'2016 RAW DATA'!N9</f>
        <v>2677248.7514289869</v>
      </c>
      <c r="K40" s="293">
        <f>'2016 RAW DATA'!M9</f>
        <v>3386359.0896254121</v>
      </c>
      <c r="L40" s="172">
        <f t="shared" si="50"/>
        <v>6063607.8410543986</v>
      </c>
      <c r="M40" s="167">
        <f t="shared" si="51"/>
        <v>0.44152735823420947</v>
      </c>
      <c r="N40" s="173">
        <f>+'2017 RAW DATA'!N9</f>
        <v>2084625</v>
      </c>
      <c r="O40" s="293">
        <f>+'2017 RAW DATA'!M9</f>
        <v>669529</v>
      </c>
      <c r="P40" s="172">
        <f t="shared" si="52"/>
        <v>2754154</v>
      </c>
      <c r="Q40" s="167">
        <f t="shared" si="53"/>
        <v>0.75690211948932418</v>
      </c>
      <c r="R40" s="165">
        <f>'2017 NEW RAW DATA '!N9</f>
        <v>1819463</v>
      </c>
      <c r="S40" s="165">
        <f>'2017 NEW RAW DATA '!M9</f>
        <v>575533</v>
      </c>
      <c r="T40" s="165">
        <f t="shared" si="54"/>
        <v>2394996</v>
      </c>
      <c r="U40" s="167">
        <f t="shared" si="55"/>
        <v>0.75969354437335179</v>
      </c>
      <c r="V40" s="165">
        <f>'2018 RAW DATA'!N9</f>
        <v>1863668</v>
      </c>
      <c r="W40" s="165">
        <f>'2018 RAW DATA'!M9</f>
        <v>466739</v>
      </c>
      <c r="X40" s="165">
        <f t="shared" si="56"/>
        <v>2330407</v>
      </c>
      <c r="Y40" s="167">
        <f t="shared" si="57"/>
        <v>0.79971781753144411</v>
      </c>
      <c r="Z40" s="165">
        <f>'2019 RAW DATA'!N9</f>
        <v>1720053</v>
      </c>
      <c r="AA40" s="165">
        <f>'2019 RAW DATA'!M9</f>
        <v>339983</v>
      </c>
      <c r="AB40" s="165">
        <f t="shared" si="58"/>
        <v>2060036</v>
      </c>
      <c r="AC40" s="239">
        <f t="shared" si="59"/>
        <v>0.83496259288672625</v>
      </c>
      <c r="AD40" s="239"/>
      <c r="AE40" s="239"/>
      <c r="AF40" s="239"/>
      <c r="AG40" s="464">
        <v>317002</v>
      </c>
      <c r="AH40" s="339">
        <v>0.02</v>
      </c>
      <c r="AI40" s="348">
        <f t="shared" si="38"/>
        <v>1754454.06</v>
      </c>
      <c r="AJ40" s="116">
        <f t="shared" si="60"/>
        <v>323342.03999999998</v>
      </c>
      <c r="AK40" s="345">
        <f t="shared" si="61"/>
        <v>1431112.02</v>
      </c>
      <c r="AL40" s="345">
        <f t="shared" si="39"/>
        <v>670124.69999999995</v>
      </c>
      <c r="AM40" s="345">
        <f t="shared" si="40"/>
        <v>2101236.7200000002</v>
      </c>
      <c r="AN40" s="349">
        <f t="shared" si="41"/>
        <v>0.68108081606340853</v>
      </c>
      <c r="AO40" s="173">
        <f>'2020 RAW DATA'!N9</f>
        <v>4519072</v>
      </c>
      <c r="AP40" s="172">
        <f>'2020 RAW DATA'!M9</f>
        <v>726210</v>
      </c>
      <c r="AQ40" s="172">
        <f t="shared" si="62"/>
        <v>5245282</v>
      </c>
      <c r="AR40" s="167">
        <f t="shared" si="63"/>
        <v>0.86154986519313925</v>
      </c>
      <c r="AS40" s="257">
        <f t="shared" si="64"/>
        <v>1459734.2604</v>
      </c>
      <c r="AT40" s="256">
        <f t="shared" si="65"/>
        <v>329808.88079999998</v>
      </c>
      <c r="AU40" s="354">
        <f t="shared" si="66"/>
        <v>1453033.0134000001</v>
      </c>
      <c r="AV40" s="257">
        <f t="shared" si="67"/>
        <v>690228.44099999999</v>
      </c>
      <c r="AW40" s="354">
        <f t="shared" si="42"/>
        <v>2143261.4544000002</v>
      </c>
      <c r="AX40" s="261">
        <f t="shared" si="95"/>
        <v>0.67795415739736353</v>
      </c>
      <c r="AY40" s="173">
        <f>'2021 RAW Data'!N9</f>
        <v>2407259</v>
      </c>
      <c r="AZ40" s="172">
        <f>'2021 RAW Data'!M9</f>
        <v>224785</v>
      </c>
      <c r="BA40" s="172">
        <f t="shared" si="97"/>
        <v>2632044</v>
      </c>
      <c r="BB40" s="167">
        <f t="shared" si="68"/>
        <v>0.91459679245483738</v>
      </c>
      <c r="BC40" s="257">
        <f t="shared" si="69"/>
        <v>1482093.6736680001</v>
      </c>
      <c r="BD40" s="256">
        <f t="shared" si="70"/>
        <v>336405.05841599999</v>
      </c>
      <c r="BE40" s="354">
        <f t="shared" si="71"/>
        <v>1475191.3892579996</v>
      </c>
      <c r="BF40" s="257">
        <f t="shared" si="72"/>
        <v>710935.29423</v>
      </c>
      <c r="BG40" s="257">
        <f t="shared" si="43"/>
        <v>2186126.6834879997</v>
      </c>
      <c r="BH40" s="261">
        <f t="shared" si="73"/>
        <v>0.67479684521498473</v>
      </c>
      <c r="BI40" s="260">
        <f t="shared" si="74"/>
        <v>1504695.2170431595</v>
      </c>
      <c r="BJ40" s="256">
        <f t="shared" si="75"/>
        <v>343133.15958431998</v>
      </c>
      <c r="BK40" s="257">
        <f t="shared" si="44"/>
        <v>1497585.8641008602</v>
      </c>
      <c r="BL40" s="257">
        <f t="shared" si="76"/>
        <v>732263.35305689997</v>
      </c>
      <c r="BM40" s="257">
        <f t="shared" si="96"/>
        <v>2229849.2171577602</v>
      </c>
      <c r="BN40" s="261">
        <f t="shared" si="77"/>
        <v>0.67160857899160231</v>
      </c>
      <c r="BO40" s="260">
        <f t="shared" si="78"/>
        <v>1527537.5813828774</v>
      </c>
      <c r="BP40" s="256">
        <f t="shared" si="79"/>
        <v>349995.82277600642</v>
      </c>
      <c r="BQ40" s="257">
        <f t="shared" si="45"/>
        <v>1520214.9478523084</v>
      </c>
      <c r="BR40" s="257">
        <f t="shared" si="80"/>
        <v>754231.25364860694</v>
      </c>
      <c r="BS40" s="257">
        <f t="shared" si="81"/>
        <v>2274446.2015009155</v>
      </c>
      <c r="BT40" s="261">
        <f t="shared" si="82"/>
        <v>0.66838905525622583</v>
      </c>
      <c r="BU40" s="260">
        <f t="shared" si="83"/>
        <v>1550619.2468093545</v>
      </c>
      <c r="BV40" s="256">
        <f t="shared" si="84"/>
        <v>356995.73923152656</v>
      </c>
      <c r="BW40" s="257">
        <f t="shared" si="85"/>
        <v>1543076.9342728683</v>
      </c>
      <c r="BX40" s="257">
        <f t="shared" si="86"/>
        <v>776858.19125806517</v>
      </c>
      <c r="BY40" s="257">
        <f t="shared" si="87"/>
        <v>2319935.1255309335</v>
      </c>
      <c r="BZ40" s="261">
        <f t="shared" si="88"/>
        <v>0.66513796756265942</v>
      </c>
      <c r="CA40" s="260">
        <f t="shared" si="89"/>
        <v>1573938.4729583256</v>
      </c>
      <c r="CB40" s="256">
        <f t="shared" si="90"/>
        <v>364135.65401615697</v>
      </c>
      <c r="CC40" s="257">
        <f t="shared" si="91"/>
        <v>1566169.8910457445</v>
      </c>
      <c r="CD40" s="257">
        <f t="shared" si="92"/>
        <v>800163.9369958071</v>
      </c>
      <c r="CE40" s="257">
        <f t="shared" si="93"/>
        <v>2366333.8280415516</v>
      </c>
      <c r="CF40" s="261">
        <f t="shared" si="94"/>
        <v>0.66185500646033246</v>
      </c>
    </row>
    <row r="41" spans="1:93" x14ac:dyDescent="0.35">
      <c r="A41" s="59" t="s">
        <v>76</v>
      </c>
      <c r="B41" s="309">
        <f>'2014 RAW DATA'!N10</f>
        <v>2600282.6019178084</v>
      </c>
      <c r="C41" s="341">
        <f>'2014 RAW DATA'!M10</f>
        <v>346799.12027397263</v>
      </c>
      <c r="D41" s="310">
        <f t="shared" si="46"/>
        <v>2947081.7221917808</v>
      </c>
      <c r="E41" s="167">
        <f t="shared" si="47"/>
        <v>0.8823245661419753</v>
      </c>
      <c r="F41" s="173">
        <f>'2015 RAW DATA'!N10</f>
        <v>2781378.8608679995</v>
      </c>
      <c r="G41" s="293">
        <f>'2015 RAW DATA'!M10</f>
        <v>390023.96304600005</v>
      </c>
      <c r="H41" s="172">
        <f t="shared" si="48"/>
        <v>3171402.8239139994</v>
      </c>
      <c r="I41" s="167">
        <f t="shared" si="49"/>
        <v>0.87701847267555555</v>
      </c>
      <c r="J41" s="173">
        <f>'2016 RAW DATA'!N10</f>
        <v>2762854.2370980005</v>
      </c>
      <c r="K41" s="293">
        <f>'2016 RAW DATA'!M10</f>
        <v>525753.32424599992</v>
      </c>
      <c r="L41" s="172">
        <f t="shared" si="50"/>
        <v>3288607.5613440005</v>
      </c>
      <c r="M41" s="167">
        <f t="shared" si="51"/>
        <v>0.84012889515125566</v>
      </c>
      <c r="N41" s="173">
        <f>+'2017 RAW DATA'!N10</f>
        <v>3010256</v>
      </c>
      <c r="O41" s="293">
        <f>+'2017 RAW DATA'!M10</f>
        <v>134878</v>
      </c>
      <c r="P41" s="172">
        <f t="shared" si="52"/>
        <v>3145134</v>
      </c>
      <c r="Q41" s="167">
        <f t="shared" si="53"/>
        <v>0.95711534071362303</v>
      </c>
      <c r="R41" s="165">
        <f>'2017 NEW RAW DATA '!N10</f>
        <v>2904989</v>
      </c>
      <c r="S41" s="165">
        <f>'2017 NEW RAW DATA '!M10</f>
        <v>96540</v>
      </c>
      <c r="T41" s="165">
        <f t="shared" si="54"/>
        <v>3001529</v>
      </c>
      <c r="U41" s="167">
        <f t="shared" si="55"/>
        <v>0.96783639271851118</v>
      </c>
      <c r="V41" s="165">
        <f>'2018 RAW DATA'!N10</f>
        <v>3004984</v>
      </c>
      <c r="W41" s="165">
        <f>'2018 RAW DATA'!M10</f>
        <v>134866</v>
      </c>
      <c r="X41" s="165">
        <f t="shared" si="56"/>
        <v>3139850</v>
      </c>
      <c r="Y41" s="167">
        <f t="shared" si="57"/>
        <v>0.95704699269073368</v>
      </c>
      <c r="Z41" s="165">
        <f>'2019 RAW DATA'!N10</f>
        <v>3692515</v>
      </c>
      <c r="AA41" s="165">
        <f>'2019 RAW DATA'!M10</f>
        <v>362312</v>
      </c>
      <c r="AB41" s="165">
        <f t="shared" si="58"/>
        <v>4054827</v>
      </c>
      <c r="AC41" s="239">
        <f t="shared" si="59"/>
        <v>0.91064674275869228</v>
      </c>
      <c r="AD41" s="239"/>
      <c r="AE41" s="239"/>
      <c r="AF41" s="239"/>
      <c r="AG41" s="464">
        <v>379140</v>
      </c>
      <c r="AH41" s="339">
        <v>0.05</v>
      </c>
      <c r="AI41" s="348">
        <f t="shared" si="38"/>
        <v>3877140.75</v>
      </c>
      <c r="AJ41" s="116">
        <f t="shared" si="60"/>
        <v>398097</v>
      </c>
      <c r="AK41" s="345">
        <f t="shared" si="61"/>
        <v>3479043.75</v>
      </c>
      <c r="AL41" s="345">
        <f t="shared" si="39"/>
        <v>778524.60000000009</v>
      </c>
      <c r="AM41" s="345">
        <f t="shared" si="40"/>
        <v>4257568.3500000006</v>
      </c>
      <c r="AN41" s="349">
        <f t="shared" si="41"/>
        <v>0.81714337011172111</v>
      </c>
      <c r="AO41" s="173">
        <f>'2020 RAW DATA'!N10</f>
        <v>5016672</v>
      </c>
      <c r="AP41" s="172">
        <f>'2020 RAW DATA'!M10</f>
        <v>370312</v>
      </c>
      <c r="AQ41" s="172">
        <f t="shared" si="62"/>
        <v>5386984</v>
      </c>
      <c r="AR41" s="167">
        <f t="shared" si="63"/>
        <v>0.93125801004792297</v>
      </c>
      <c r="AS41" s="257">
        <f t="shared" si="64"/>
        <v>3652995.9375</v>
      </c>
      <c r="AT41" s="256">
        <f t="shared" si="65"/>
        <v>418001.85000000003</v>
      </c>
      <c r="AU41" s="354">
        <f t="shared" si="66"/>
        <v>3633532.8224999998</v>
      </c>
      <c r="AV41" s="257">
        <f t="shared" si="67"/>
        <v>836913.94500000007</v>
      </c>
      <c r="AW41" s="354">
        <f t="shared" si="42"/>
        <v>4470446.7675000001</v>
      </c>
      <c r="AX41" s="261">
        <f t="shared" si="95"/>
        <v>0.81278964082866689</v>
      </c>
      <c r="AY41" s="173">
        <f>'2021 RAW Data'!N10</f>
        <v>5078757</v>
      </c>
      <c r="AZ41" s="172">
        <f>'2021 RAW Data'!M10</f>
        <v>370546</v>
      </c>
      <c r="BA41" s="172">
        <f t="shared" si="97"/>
        <v>5449303</v>
      </c>
      <c r="BB41" s="167">
        <f t="shared" si="68"/>
        <v>0.93200121189810881</v>
      </c>
      <c r="BC41" s="257">
        <f t="shared" si="69"/>
        <v>3815209.4636249999</v>
      </c>
      <c r="BD41" s="256">
        <f t="shared" si="70"/>
        <v>438901.94250000006</v>
      </c>
      <c r="BE41" s="354">
        <f t="shared" si="71"/>
        <v>3794286.6150000002</v>
      </c>
      <c r="BF41" s="257">
        <f t="shared" si="72"/>
        <v>899682.49087500002</v>
      </c>
      <c r="BG41" s="257">
        <f t="shared" si="43"/>
        <v>4693969.1058750004</v>
      </c>
      <c r="BH41" s="261">
        <f t="shared" si="73"/>
        <v>0.80833225132458753</v>
      </c>
      <c r="BI41" s="260">
        <f>BE41*(100%+AH41)</f>
        <v>3984000.9457500004</v>
      </c>
      <c r="BJ41" s="256">
        <f>+AG41*((100%+AH41)^4)</f>
        <v>460847.03962499998</v>
      </c>
      <c r="BK41" s="257">
        <f t="shared" si="44"/>
        <v>3961508.8834781246</v>
      </c>
      <c r="BL41" s="257">
        <f>BF41*((100%+(AH41*1.5)))</f>
        <v>967158.67769062496</v>
      </c>
      <c r="BM41" s="257">
        <f>AB41*(100%+AH41)^4</f>
        <v>4928667.5611687498</v>
      </c>
      <c r="BN41" s="261">
        <f>BK41/BM41</f>
        <v>0.80376873349898248</v>
      </c>
      <c r="BO41" s="260">
        <f t="shared" si="78"/>
        <v>4159584.3276520311</v>
      </c>
      <c r="BP41" s="256">
        <f>+AG41*((100%+AH41)^5)</f>
        <v>483889.39160625008</v>
      </c>
      <c r="BQ41" s="257">
        <f t="shared" si="45"/>
        <v>4135405.3607097664</v>
      </c>
      <c r="BR41" s="257">
        <f>BL41*((100%+(AH41*1.5)))</f>
        <v>1039695.5785174217</v>
      </c>
      <c r="BS41" s="257">
        <f>AB41*(100%+AH41)^5</f>
        <v>5175100.939227188</v>
      </c>
      <c r="BT41" s="261">
        <f>BQ41/BS41</f>
        <v>0.79909656048705358</v>
      </c>
      <c r="BU41" s="260">
        <f t="shared" ref="BU41:BU53" si="98">BQ41*(100%+AH41)</f>
        <v>4342175.6287452551</v>
      </c>
      <c r="BV41" s="256">
        <f t="shared" ref="BV41:BV53" si="99">+AG41*((100%+AH41)^6)</f>
        <v>508083.86118656251</v>
      </c>
      <c r="BW41" s="257">
        <f t="shared" ref="BW41:BW53" si="100">+BY41-BX41</f>
        <v>4316183.2392823184</v>
      </c>
      <c r="BX41" s="257">
        <f t="shared" ref="BX41:BX53" si="101">BR41*((100%+(AH41*1.5)))</f>
        <v>1117672.7469062284</v>
      </c>
      <c r="BY41" s="257">
        <f t="shared" ref="BY41:BY53" si="102">AB41*(100%+AH41)^6</f>
        <v>5433855.9861885468</v>
      </c>
      <c r="BZ41" s="261">
        <f t="shared" ref="BZ41:BZ53" si="103">BW41/BY41</f>
        <v>0.79431314526055485</v>
      </c>
      <c r="CA41" s="260">
        <f t="shared" ref="CA41:CA58" si="104">BW41*(100%+AH41)</f>
        <v>4531992.4012464341</v>
      </c>
      <c r="CB41" s="256">
        <f t="shared" ref="CB41:CB58" si="105">+AG41*((100%+AH41)^7)</f>
        <v>533488.0542458907</v>
      </c>
      <c r="CC41" s="257">
        <f t="shared" ref="CC41:CC58" si="106">+CE41-CD41</f>
        <v>4504050.5825737799</v>
      </c>
      <c r="CD41" s="257">
        <f t="shared" ref="CD41:CD58" si="107">BX41*((100%+(AH41*1.5)))</f>
        <v>1201498.2029241954</v>
      </c>
      <c r="CE41" s="257">
        <f t="shared" ref="CE41:CE58" si="108">AB41*(100%+AH41)^7</f>
        <v>5705548.7854979755</v>
      </c>
      <c r="CF41" s="261">
        <f t="shared" ref="CF41:CF58" si="109">CC41/CE41</f>
        <v>0.78941583919532998</v>
      </c>
    </row>
    <row r="42" spans="1:93" x14ac:dyDescent="0.35">
      <c r="A42" s="56" t="s">
        <v>77</v>
      </c>
      <c r="B42" s="309">
        <f>'2014 RAW DATA'!N11</f>
        <v>5761142.208219178</v>
      </c>
      <c r="C42" s="341">
        <f>'2014 RAW DATA'!M11</f>
        <v>267982.63183561643</v>
      </c>
      <c r="D42" s="310">
        <f t="shared" si="46"/>
        <v>6029124.8400547942</v>
      </c>
      <c r="E42" s="167">
        <f t="shared" si="47"/>
        <v>0.95555198491574433</v>
      </c>
      <c r="F42" s="173">
        <f>'2015 RAW DATA'!N11</f>
        <v>4993869.2112840042</v>
      </c>
      <c r="G42" s="293">
        <f>'2015 RAW DATA'!M11</f>
        <v>271699.06860000006</v>
      </c>
      <c r="H42" s="172">
        <f t="shared" si="48"/>
        <v>5265568.279884004</v>
      </c>
      <c r="I42" s="167">
        <f t="shared" si="49"/>
        <v>0.94840080801193505</v>
      </c>
      <c r="J42" s="173">
        <f>'2016 RAW DATA'!N11</f>
        <v>6437582.6375099951</v>
      </c>
      <c r="K42" s="293">
        <f>'2016 RAW DATA'!M11</f>
        <v>381633.72097799997</v>
      </c>
      <c r="L42" s="172">
        <f t="shared" si="50"/>
        <v>6819216.3584879953</v>
      </c>
      <c r="M42" s="167">
        <f t="shared" si="51"/>
        <v>0.94403554588747218</v>
      </c>
      <c r="N42" s="173">
        <f>+'2017 RAW DATA'!N11</f>
        <v>5086163</v>
      </c>
      <c r="O42" s="293">
        <f>+'2017 RAW DATA'!M11</f>
        <v>162122</v>
      </c>
      <c r="P42" s="172">
        <f t="shared" si="52"/>
        <v>5248285</v>
      </c>
      <c r="Q42" s="167">
        <f t="shared" si="53"/>
        <v>0.96910952816015139</v>
      </c>
      <c r="R42" s="165">
        <f>'2017 NEW RAW DATA '!N11</f>
        <v>5101840</v>
      </c>
      <c r="S42" s="165">
        <f>'2017 NEW RAW DATA '!M11</f>
        <v>156543</v>
      </c>
      <c r="T42" s="165">
        <f t="shared" si="54"/>
        <v>5258383</v>
      </c>
      <c r="U42" s="167">
        <f t="shared" si="55"/>
        <v>0.97022982160105109</v>
      </c>
      <c r="V42" s="165">
        <f>'2018 RAW DATA'!N11</f>
        <v>5425376</v>
      </c>
      <c r="W42" s="165">
        <f>'2018 RAW DATA'!M11</f>
        <v>262312</v>
      </c>
      <c r="X42" s="165">
        <f t="shared" si="56"/>
        <v>5687688</v>
      </c>
      <c r="Y42" s="167">
        <f t="shared" si="57"/>
        <v>0.95388073326103684</v>
      </c>
      <c r="Z42" s="165">
        <f>'2019 RAW DATA'!N11</f>
        <v>6323711</v>
      </c>
      <c r="AA42" s="165">
        <f>'2019 RAW DATA'!M11</f>
        <v>509119</v>
      </c>
      <c r="AB42" s="165">
        <f t="shared" si="58"/>
        <v>6832830</v>
      </c>
      <c r="AC42" s="239">
        <f t="shared" si="59"/>
        <v>0.92548929213810383</v>
      </c>
      <c r="AD42" s="239"/>
      <c r="AE42" s="239"/>
      <c r="AF42" s="239"/>
      <c r="AG42" s="464">
        <v>533802</v>
      </c>
      <c r="AH42" s="339">
        <v>0.03</v>
      </c>
      <c r="AI42" s="348">
        <f t="shared" si="38"/>
        <v>6513422.3300000001</v>
      </c>
      <c r="AJ42" s="116">
        <f t="shared" si="60"/>
        <v>549816.06000000006</v>
      </c>
      <c r="AK42" s="345">
        <f t="shared" si="61"/>
        <v>5963606.2699999996</v>
      </c>
      <c r="AL42" s="345">
        <f t="shared" si="39"/>
        <v>1074208.6300000001</v>
      </c>
      <c r="AM42" s="345">
        <f t="shared" si="40"/>
        <v>7037814.9000000004</v>
      </c>
      <c r="AN42" s="349">
        <f t="shared" si="41"/>
        <v>0.84736617184973129</v>
      </c>
      <c r="AO42" s="173">
        <f>'2020 RAW DATA'!N11</f>
        <v>7827335</v>
      </c>
      <c r="AP42" s="172">
        <f>'2020 RAW DATA'!M11</f>
        <v>424149</v>
      </c>
      <c r="AQ42" s="172">
        <f t="shared" si="62"/>
        <v>8251484</v>
      </c>
      <c r="AR42" s="167">
        <f t="shared" si="63"/>
        <v>0.9485972462650355</v>
      </c>
      <c r="AS42" s="257">
        <f t="shared" si="64"/>
        <v>6142514.4580999995</v>
      </c>
      <c r="AT42" s="256">
        <f t="shared" si="65"/>
        <v>566310.54180000001</v>
      </c>
      <c r="AU42" s="354">
        <f t="shared" si="66"/>
        <v>6126401.3286499996</v>
      </c>
      <c r="AV42" s="257">
        <f t="shared" si="67"/>
        <v>1122548.01835</v>
      </c>
      <c r="AW42" s="354">
        <f t="shared" si="42"/>
        <v>7248949.3470000001</v>
      </c>
      <c r="AX42" s="261">
        <f t="shared" si="95"/>
        <v>0.84514334910967881</v>
      </c>
      <c r="AY42" s="173">
        <f>'2021 RAW Data'!N11</f>
        <v>7763236</v>
      </c>
      <c r="AZ42" s="172">
        <f>'2021 RAW Data'!M11</f>
        <v>443415</v>
      </c>
      <c r="BA42" s="172">
        <f t="shared" si="97"/>
        <v>8206651</v>
      </c>
      <c r="BB42" s="167">
        <f t="shared" si="68"/>
        <v>0.94596882455462039</v>
      </c>
      <c r="BC42" s="257">
        <f t="shared" si="69"/>
        <v>6310193.3685094994</v>
      </c>
      <c r="BD42" s="256">
        <f t="shared" si="70"/>
        <v>583299.85805399995</v>
      </c>
      <c r="BE42" s="354">
        <f t="shared" si="71"/>
        <v>6293355.14823425</v>
      </c>
      <c r="BF42" s="257">
        <f t="shared" si="72"/>
        <v>1173062.6791757499</v>
      </c>
      <c r="BG42" s="257">
        <f t="shared" si="43"/>
        <v>7466417.8274100004</v>
      </c>
      <c r="BH42" s="261">
        <f t="shared" si="73"/>
        <v>0.84288815516467419</v>
      </c>
      <c r="BI42" s="260">
        <f t="shared" si="74"/>
        <v>6482155.8026812775</v>
      </c>
      <c r="BJ42" s="256">
        <f t="shared" si="75"/>
        <v>600798.85379561991</v>
      </c>
      <c r="BK42" s="257">
        <f t="shared" ref="BK42:BK52" si="110">+BM42-BL42</f>
        <v>6464559.8624936407</v>
      </c>
      <c r="BL42" s="257">
        <f t="shared" si="76"/>
        <v>1225850.4997386585</v>
      </c>
      <c r="BM42" s="257">
        <f t="shared" si="96"/>
        <v>7690410.3622322995</v>
      </c>
      <c r="BN42" s="261">
        <f t="shared" si="77"/>
        <v>0.84060011858940253</v>
      </c>
      <c r="BO42" s="260">
        <f t="shared" si="78"/>
        <v>6658496.6583684506</v>
      </c>
      <c r="BP42" s="256">
        <f t="shared" si="79"/>
        <v>618822.81940948847</v>
      </c>
      <c r="BQ42" s="257">
        <f t="shared" ref="BQ42:BQ52" si="111">+BS42-BR42</f>
        <v>6640108.9008723702</v>
      </c>
      <c r="BR42" s="257">
        <f t="shared" si="80"/>
        <v>1281013.772226898</v>
      </c>
      <c r="BS42" s="257">
        <f t="shared" si="81"/>
        <v>7921122.6730992682</v>
      </c>
      <c r="BT42" s="261">
        <f t="shared" si="82"/>
        <v>0.83827876109313171</v>
      </c>
      <c r="BU42" s="260">
        <f t="shared" si="98"/>
        <v>6839312.1678985413</v>
      </c>
      <c r="BV42" s="256">
        <f t="shared" si="99"/>
        <v>637387.50399177324</v>
      </c>
      <c r="BW42" s="257">
        <f t="shared" si="100"/>
        <v>6820096.9613151383</v>
      </c>
      <c r="BX42" s="257">
        <f t="shared" si="101"/>
        <v>1338659.3919771083</v>
      </c>
      <c r="BY42" s="257">
        <f t="shared" si="102"/>
        <v>8158756.3532922463</v>
      </c>
      <c r="BZ42" s="261">
        <f t="shared" si="103"/>
        <v>0.83592359741973077</v>
      </c>
      <c r="CA42" s="260">
        <f t="shared" si="104"/>
        <v>7024699.8701545922</v>
      </c>
      <c r="CB42" s="256">
        <f t="shared" si="105"/>
        <v>656509.12911152642</v>
      </c>
      <c r="CC42" s="257">
        <f t="shared" si="106"/>
        <v>7004619.979274936</v>
      </c>
      <c r="CD42" s="257">
        <f t="shared" si="107"/>
        <v>1398899.064616078</v>
      </c>
      <c r="CE42" s="257">
        <f t="shared" si="108"/>
        <v>8403519.0438910145</v>
      </c>
      <c r="CF42" s="261">
        <f t="shared" si="109"/>
        <v>0.83353413524623166</v>
      </c>
    </row>
    <row r="43" spans="1:93" x14ac:dyDescent="0.35">
      <c r="A43" s="56" t="s">
        <v>78</v>
      </c>
      <c r="B43" s="309">
        <f>'2014 RAW DATA'!N12</f>
        <v>60878666.342465751</v>
      </c>
      <c r="C43" s="341">
        <f>'2014 RAW DATA'!M12</f>
        <v>75218916.112328768</v>
      </c>
      <c r="D43" s="310">
        <f t="shared" si="46"/>
        <v>136097582.45479453</v>
      </c>
      <c r="E43" s="167">
        <f t="shared" si="47"/>
        <v>0.44731629500242515</v>
      </c>
      <c r="F43" s="173">
        <f>'2015 RAW DATA'!N12</f>
        <v>60313315.060650051</v>
      </c>
      <c r="G43" s="293">
        <f>'2015 RAW DATA'!M12</f>
        <v>77202374.454017758</v>
      </c>
      <c r="H43" s="172">
        <f t="shared" si="48"/>
        <v>137515689.51466781</v>
      </c>
      <c r="I43" s="167">
        <f t="shared" si="49"/>
        <v>0.4385922455358584</v>
      </c>
      <c r="J43" s="173">
        <f>'2016 RAW DATA'!N12</f>
        <v>63450245.190569967</v>
      </c>
      <c r="K43" s="293">
        <f>'2016 RAW DATA'!M12</f>
        <v>84592820.941878155</v>
      </c>
      <c r="L43" s="172">
        <f t="shared" si="50"/>
        <v>148043066.13244814</v>
      </c>
      <c r="M43" s="167">
        <f t="shared" si="51"/>
        <v>0.42859315770860623</v>
      </c>
      <c r="N43" s="173">
        <f>+'2017 RAW DATA'!N12</f>
        <v>91464512</v>
      </c>
      <c r="O43" s="293">
        <f>+'2017 RAW DATA'!M12</f>
        <v>37863598</v>
      </c>
      <c r="P43" s="172">
        <f t="shared" si="52"/>
        <v>129328110</v>
      </c>
      <c r="Q43" s="167">
        <f t="shared" si="53"/>
        <v>0.70722839760049072</v>
      </c>
      <c r="R43" s="165">
        <f>'2017 NEW RAW DATA '!N12</f>
        <v>92798640</v>
      </c>
      <c r="S43" s="165">
        <f>'2017 NEW RAW DATA '!M12</f>
        <v>32470792</v>
      </c>
      <c r="T43" s="165">
        <f t="shared" si="54"/>
        <v>125269432</v>
      </c>
      <c r="U43" s="167">
        <f t="shared" si="55"/>
        <v>0.74079237463134662</v>
      </c>
      <c r="V43" s="165">
        <f>'2018 RAW DATA'!N12</f>
        <v>97284874</v>
      </c>
      <c r="W43" s="165">
        <f>'2018 RAW DATA'!M12</f>
        <v>30317260</v>
      </c>
      <c r="X43" s="165">
        <f t="shared" si="56"/>
        <v>127602134</v>
      </c>
      <c r="Y43" s="167">
        <f t="shared" si="57"/>
        <v>0.76240789201848302</v>
      </c>
      <c r="Z43" s="165">
        <f>'2019 RAW DATA'!N12</f>
        <v>89175059</v>
      </c>
      <c r="AA43" s="165">
        <f>'2019 RAW DATA'!M12</f>
        <v>28619449</v>
      </c>
      <c r="AB43" s="165">
        <f t="shared" si="58"/>
        <v>117794508</v>
      </c>
      <c r="AC43" s="239">
        <f t="shared" si="59"/>
        <v>0.75703919065564584</v>
      </c>
      <c r="AD43" s="239"/>
      <c r="AE43" s="239"/>
      <c r="AF43" s="239"/>
      <c r="AG43" s="464">
        <v>13365354</v>
      </c>
      <c r="AH43" s="339">
        <v>0.04</v>
      </c>
      <c r="AI43" s="348">
        <f t="shared" si="38"/>
        <v>92742061.359999999</v>
      </c>
      <c r="AJ43" s="116">
        <f t="shared" si="60"/>
        <v>13899968.16</v>
      </c>
      <c r="AK43" s="345">
        <f t="shared" si="61"/>
        <v>78842093.200000003</v>
      </c>
      <c r="AL43" s="345">
        <f t="shared" si="39"/>
        <v>43664195.120000005</v>
      </c>
      <c r="AM43" s="345">
        <f t="shared" si="40"/>
        <v>122506288.32000001</v>
      </c>
      <c r="AN43" s="349">
        <f t="shared" si="41"/>
        <v>0.6435758872561359</v>
      </c>
      <c r="AO43" s="173">
        <f>'2020 RAW DATA'!N12</f>
        <v>119187354</v>
      </c>
      <c r="AP43" s="172">
        <f>'2020 RAW DATA'!M12</f>
        <v>13468381</v>
      </c>
      <c r="AQ43" s="172">
        <f t="shared" si="62"/>
        <v>132655735</v>
      </c>
      <c r="AR43" s="167">
        <f t="shared" si="63"/>
        <v>0.89847117427678491</v>
      </c>
      <c r="AS43" s="257">
        <f t="shared" si="64"/>
        <v>81995776.928000003</v>
      </c>
      <c r="AT43" s="256">
        <f t="shared" si="65"/>
        <v>14455966.886400001</v>
      </c>
      <c r="AU43" s="354">
        <f t="shared" si="66"/>
        <v>81122493.025600001</v>
      </c>
      <c r="AV43" s="257">
        <f t="shared" si="67"/>
        <v>46284046.82720001</v>
      </c>
      <c r="AW43" s="354">
        <f t="shared" si="42"/>
        <v>127406539.85280001</v>
      </c>
      <c r="AX43" s="261">
        <f t="shared" si="95"/>
        <v>0.63672157739567692</v>
      </c>
      <c r="AY43" s="173">
        <f>'2021 RAW Data'!N12</f>
        <v>115896203</v>
      </c>
      <c r="AZ43" s="172">
        <f>'2021 RAW Data'!M12</f>
        <v>17832394</v>
      </c>
      <c r="BA43" s="172">
        <f t="shared" si="97"/>
        <v>133728597</v>
      </c>
      <c r="BB43" s="167">
        <f t="shared" si="68"/>
        <v>0.86665235110482763</v>
      </c>
      <c r="BC43" s="257">
        <f t="shared" si="69"/>
        <v>84367392.746624008</v>
      </c>
      <c r="BD43" s="256">
        <f t="shared" si="70"/>
        <v>15034205.561856002</v>
      </c>
      <c r="BE43" s="354">
        <f t="shared" si="71"/>
        <v>83441711.810079992</v>
      </c>
      <c r="BF43" s="257">
        <f t="shared" si="72"/>
        <v>49061089.636832014</v>
      </c>
      <c r="BG43" s="257">
        <f t="shared" si="43"/>
        <v>132502801.44691201</v>
      </c>
      <c r="BH43" s="261">
        <f t="shared" si="73"/>
        <v>0.62973545388405527</v>
      </c>
      <c r="BI43" s="260">
        <f t="shared" si="74"/>
        <v>86779380.28248319</v>
      </c>
      <c r="BJ43" s="256">
        <f t="shared" si="75"/>
        <v>15635573.784330243</v>
      </c>
      <c r="BK43" s="257">
        <f t="shared" si="110"/>
        <v>85798158.489746571</v>
      </c>
      <c r="BL43" s="257">
        <f t="shared" si="76"/>
        <v>52004755.01504194</v>
      </c>
      <c r="BM43" s="257">
        <f t="shared" si="96"/>
        <v>137802913.50478852</v>
      </c>
      <c r="BN43" s="261">
        <f t="shared" si="77"/>
        <v>0.62261498184336406</v>
      </c>
      <c r="BO43" s="260">
        <f t="shared" si="78"/>
        <v>89230084.829336435</v>
      </c>
      <c r="BP43" s="256">
        <f t="shared" si="79"/>
        <v>16260996.735703453</v>
      </c>
      <c r="BQ43" s="257">
        <f t="shared" si="111"/>
        <v>88189989.729035586</v>
      </c>
      <c r="BR43" s="257">
        <f t="shared" si="80"/>
        <v>55125040.315944456</v>
      </c>
      <c r="BS43" s="257">
        <f t="shared" si="81"/>
        <v>143315030.04498005</v>
      </c>
      <c r="BT43" s="261">
        <f t="shared" si="82"/>
        <v>0.61535757764804411</v>
      </c>
      <c r="BU43" s="260">
        <f t="shared" si="98"/>
        <v>91717589.318197012</v>
      </c>
      <c r="BV43" s="256">
        <f t="shared" si="99"/>
        <v>16911436.605131593</v>
      </c>
      <c r="BW43" s="257">
        <f t="shared" si="100"/>
        <v>90615088.511878133</v>
      </c>
      <c r="BX43" s="257">
        <f t="shared" si="101"/>
        <v>58432542.734901123</v>
      </c>
      <c r="BY43" s="257">
        <f t="shared" si="102"/>
        <v>149047631.24677926</v>
      </c>
      <c r="BZ43" s="261">
        <f t="shared" si="103"/>
        <v>0.60796060798742957</v>
      </c>
      <c r="CA43" s="260">
        <f t="shared" si="104"/>
        <v>94239692.052353263</v>
      </c>
      <c r="CB43" s="256">
        <f t="shared" si="105"/>
        <v>17587894.069336854</v>
      </c>
      <c r="CC43" s="257">
        <f t="shared" si="106"/>
        <v>93071041.197655231</v>
      </c>
      <c r="CD43" s="257">
        <f t="shared" si="107"/>
        <v>61938495.298995197</v>
      </c>
      <c r="CE43" s="257">
        <f t="shared" si="108"/>
        <v>155009536.49665043</v>
      </c>
      <c r="CF43" s="261">
        <f t="shared" si="109"/>
        <v>0.60042138891026475</v>
      </c>
    </row>
    <row r="44" spans="1:93" x14ac:dyDescent="0.35">
      <c r="A44" s="56" t="s">
        <v>79</v>
      </c>
      <c r="B44" s="309">
        <f>'2014 RAW DATA'!N13</f>
        <v>4917504.6602739729</v>
      </c>
      <c r="C44" s="341">
        <f>'2014 RAW DATA'!M13</f>
        <v>5883258.8246575342</v>
      </c>
      <c r="D44" s="310">
        <f t="shared" si="46"/>
        <v>10800763.484931506</v>
      </c>
      <c r="E44" s="167">
        <f t="shared" si="47"/>
        <v>0.45529231957856892</v>
      </c>
      <c r="F44" s="173">
        <f>'2015 RAW DATA'!N13</f>
        <v>5147173.4645820009</v>
      </c>
      <c r="G44" s="293">
        <f>'2015 RAW DATA'!M13</f>
        <v>6273358.1746620024</v>
      </c>
      <c r="H44" s="172">
        <f t="shared" si="48"/>
        <v>11420531.639244003</v>
      </c>
      <c r="I44" s="167">
        <f t="shared" si="49"/>
        <v>0.45069473358796497</v>
      </c>
      <c r="J44" s="173">
        <f>'2016 RAW DATA'!N13</f>
        <v>5128579.0224420009</v>
      </c>
      <c r="K44" s="293">
        <f>'2016 RAW DATA'!M13</f>
        <v>6790954.6715759942</v>
      </c>
      <c r="L44" s="172">
        <f t="shared" si="50"/>
        <v>11919533.694017995</v>
      </c>
      <c r="M44" s="167">
        <f t="shared" si="51"/>
        <v>0.43026674986588265</v>
      </c>
      <c r="N44" s="173">
        <f>+'2017 RAW DATA'!N13</f>
        <v>9241064</v>
      </c>
      <c r="O44" s="293">
        <f>+'2017 RAW DATA'!M13</f>
        <v>2607454</v>
      </c>
      <c r="P44" s="172">
        <f t="shared" si="52"/>
        <v>11848518</v>
      </c>
      <c r="Q44" s="167">
        <f t="shared" si="53"/>
        <v>0.77993416560619644</v>
      </c>
      <c r="R44" s="165">
        <f>'2017 NEW RAW DATA '!N13</f>
        <v>9157199</v>
      </c>
      <c r="S44" s="165">
        <f>'2017 NEW RAW DATA '!M13</f>
        <v>2229852</v>
      </c>
      <c r="T44" s="165">
        <f t="shared" si="54"/>
        <v>11387051</v>
      </c>
      <c r="U44" s="167">
        <f t="shared" si="55"/>
        <v>0.80417651593902584</v>
      </c>
      <c r="V44" s="165">
        <f>'2018 RAW DATA'!N13</f>
        <v>5425376</v>
      </c>
      <c r="W44" s="165">
        <f>'2018 RAW DATA'!M13</f>
        <v>262312</v>
      </c>
      <c r="X44" s="165">
        <f t="shared" si="56"/>
        <v>5687688</v>
      </c>
      <c r="Y44" s="167">
        <f t="shared" si="57"/>
        <v>0.95388073326103684</v>
      </c>
      <c r="Z44" s="165">
        <f>'2019 RAW DATA'!N13</f>
        <v>9162434</v>
      </c>
      <c r="AA44" s="165">
        <f>'2019 RAW DATA'!M13</f>
        <v>1784468</v>
      </c>
      <c r="AB44" s="165">
        <f t="shared" si="58"/>
        <v>10946902</v>
      </c>
      <c r="AC44" s="239">
        <f t="shared" si="59"/>
        <v>0.83698876631945729</v>
      </c>
      <c r="AD44" s="239"/>
      <c r="AE44" s="239"/>
      <c r="AF44" s="239"/>
      <c r="AG44" s="464">
        <v>2149357</v>
      </c>
      <c r="AH44" s="339">
        <v>0.03</v>
      </c>
      <c r="AI44" s="348">
        <f t="shared" si="38"/>
        <v>9437307.0199999996</v>
      </c>
      <c r="AJ44" s="116">
        <f t="shared" si="60"/>
        <v>2213837.71</v>
      </c>
      <c r="AK44" s="345">
        <f t="shared" si="61"/>
        <v>7223469.3099999996</v>
      </c>
      <c r="AL44" s="345">
        <f t="shared" si="39"/>
        <v>4051839.75</v>
      </c>
      <c r="AM44" s="345">
        <f t="shared" si="40"/>
        <v>11275309.060000001</v>
      </c>
      <c r="AN44" s="349">
        <f t="shared" si="41"/>
        <v>0.64064490574593613</v>
      </c>
      <c r="AO44" s="173">
        <f>'2020 RAW DATA'!N13</f>
        <v>12978255</v>
      </c>
      <c r="AP44" s="172">
        <f>'2020 RAW DATA'!M13</f>
        <v>1927072</v>
      </c>
      <c r="AQ44" s="172">
        <f t="shared" si="62"/>
        <v>14905327</v>
      </c>
      <c r="AR44" s="167">
        <f t="shared" si="63"/>
        <v>0.87071253116419389</v>
      </c>
      <c r="AS44" s="257">
        <f t="shared" si="64"/>
        <v>7440173.3892999999</v>
      </c>
      <c r="AT44" s="256">
        <f t="shared" si="65"/>
        <v>2280252.8413</v>
      </c>
      <c r="AU44" s="354">
        <f t="shared" si="66"/>
        <v>7379395.7930499995</v>
      </c>
      <c r="AV44" s="257">
        <f t="shared" si="67"/>
        <v>4234172.5387499994</v>
      </c>
      <c r="AW44" s="354">
        <f t="shared" si="42"/>
        <v>11613568.331799999</v>
      </c>
      <c r="AX44" s="261">
        <f t="shared" si="95"/>
        <v>0.63541157913058577</v>
      </c>
      <c r="AY44" s="173">
        <f>'2021 RAW Data'!N13</f>
        <v>12722152</v>
      </c>
      <c r="AZ44" s="172">
        <f>'2021 RAW Data'!M13</f>
        <v>1568299</v>
      </c>
      <c r="BA44" s="172">
        <f t="shared" si="97"/>
        <v>14290451</v>
      </c>
      <c r="BB44" s="167">
        <f t="shared" si="68"/>
        <v>0.89025545799779171</v>
      </c>
      <c r="BC44" s="257">
        <f t="shared" si="69"/>
        <v>7600777.6668414995</v>
      </c>
      <c r="BD44" s="256">
        <f t="shared" si="70"/>
        <v>2348660.4265390001</v>
      </c>
      <c r="BE44" s="354">
        <f t="shared" si="71"/>
        <v>7537265.0787602505</v>
      </c>
      <c r="BF44" s="257">
        <f t="shared" si="72"/>
        <v>4424710.3029937493</v>
      </c>
      <c r="BG44" s="257">
        <f t="shared" si="43"/>
        <v>11961975.381754</v>
      </c>
      <c r="BH44" s="261">
        <f t="shared" si="73"/>
        <v>0.63010203902083706</v>
      </c>
      <c r="BI44" s="260">
        <f t="shared" si="74"/>
        <v>7763383.0311230579</v>
      </c>
      <c r="BJ44" s="256">
        <f t="shared" si="75"/>
        <v>2419120.23933517</v>
      </c>
      <c r="BK44" s="257">
        <f t="shared" si="110"/>
        <v>7697012.3765781512</v>
      </c>
      <c r="BL44" s="257">
        <f t="shared" si="76"/>
        <v>4623822.2666284675</v>
      </c>
      <c r="BM44" s="257">
        <f t="shared" si="96"/>
        <v>12320834.643206619</v>
      </c>
      <c r="BN44" s="261">
        <f t="shared" si="77"/>
        <v>0.62471517551143174</v>
      </c>
      <c r="BO44" s="260">
        <f t="shared" si="78"/>
        <v>7927922.7478754958</v>
      </c>
      <c r="BP44" s="256">
        <f t="shared" si="79"/>
        <v>2491693.8465152248</v>
      </c>
      <c r="BQ44" s="257">
        <f t="shared" si="111"/>
        <v>7858565.4138760688</v>
      </c>
      <c r="BR44" s="257">
        <f t="shared" si="80"/>
        <v>4831894.2686267486</v>
      </c>
      <c r="BS44" s="257">
        <f t="shared" si="81"/>
        <v>12690459.682502817</v>
      </c>
      <c r="BT44" s="261">
        <f t="shared" si="82"/>
        <v>0.61924986253344283</v>
      </c>
      <c r="BU44" s="260">
        <f t="shared" si="98"/>
        <v>8094322.3762923507</v>
      </c>
      <c r="BV44" s="256">
        <f t="shared" si="99"/>
        <v>2566444.6619106815</v>
      </c>
      <c r="BW44" s="257">
        <f t="shared" si="100"/>
        <v>8021843.9622629508</v>
      </c>
      <c r="BX44" s="257">
        <f t="shared" si="101"/>
        <v>5049329.5107149519</v>
      </c>
      <c r="BY44" s="257">
        <f t="shared" si="102"/>
        <v>13071173.472977903</v>
      </c>
      <c r="BZ44" s="261">
        <f t="shared" si="103"/>
        <v>0.61370495761888144</v>
      </c>
      <c r="CA44" s="260">
        <f t="shared" si="104"/>
        <v>8262499.2811308391</v>
      </c>
      <c r="CB44" s="256">
        <f t="shared" si="105"/>
        <v>2643438.0017680023</v>
      </c>
      <c r="CC44" s="257">
        <f t="shared" si="106"/>
        <v>8186759.3384701163</v>
      </c>
      <c r="CD44" s="257">
        <f t="shared" si="107"/>
        <v>5276549.3386971243</v>
      </c>
      <c r="CE44" s="257">
        <f t="shared" si="108"/>
        <v>13463308.677167241</v>
      </c>
      <c r="CF44" s="261">
        <f t="shared" si="109"/>
        <v>0.60807930166187485</v>
      </c>
    </row>
    <row r="45" spans="1:93" x14ac:dyDescent="0.35">
      <c r="A45" s="56" t="s">
        <v>80</v>
      </c>
      <c r="B45" s="309">
        <f>'2014 RAW DATA'!N14</f>
        <v>2104263.7939726026</v>
      </c>
      <c r="C45" s="341">
        <f>'2014 RAW DATA'!M14</f>
        <v>576850.47315068485</v>
      </c>
      <c r="D45" s="310">
        <f t="shared" si="46"/>
        <v>2681114.2671232875</v>
      </c>
      <c r="E45" s="167">
        <f t="shared" si="47"/>
        <v>0.78484674069128024</v>
      </c>
      <c r="F45" s="173">
        <f>'2015 RAW DATA'!N14</f>
        <v>2231792.9612459992</v>
      </c>
      <c r="G45" s="293">
        <f>'2015 RAW DATA'!M14</f>
        <v>638246.74736999988</v>
      </c>
      <c r="H45" s="172">
        <f t="shared" si="48"/>
        <v>2870039.7086159992</v>
      </c>
      <c r="I45" s="167">
        <f t="shared" si="49"/>
        <v>0.77761745056908027</v>
      </c>
      <c r="J45" s="173">
        <f>'2016 RAW DATA'!N14</f>
        <v>11630168.294927996</v>
      </c>
      <c r="K45" s="293">
        <f>'2016 RAW DATA'!M14</f>
        <v>10133430.592421992</v>
      </c>
      <c r="L45" s="172">
        <f t="shared" si="50"/>
        <v>21763598.887349986</v>
      </c>
      <c r="M45" s="167">
        <f t="shared" si="51"/>
        <v>0.53438626373912768</v>
      </c>
      <c r="N45" s="173">
        <f>+'2017 RAW DATA'!N14</f>
        <v>904904</v>
      </c>
      <c r="O45" s="293">
        <f>+'2017 RAW DATA'!M14</f>
        <v>156000</v>
      </c>
      <c r="P45" s="172">
        <f t="shared" si="52"/>
        <v>1060904</v>
      </c>
      <c r="Q45" s="167">
        <f t="shared" si="53"/>
        <v>0.85295559258896192</v>
      </c>
      <c r="R45" s="165">
        <f>'2017 NEW RAW DATA '!N14</f>
        <v>899490</v>
      </c>
      <c r="S45" s="165">
        <f>'2017 NEW RAW DATA '!M14</f>
        <v>96865</v>
      </c>
      <c r="T45" s="165">
        <f t="shared" si="54"/>
        <v>996355</v>
      </c>
      <c r="U45" s="167">
        <f t="shared" si="55"/>
        <v>0.90278063541609166</v>
      </c>
      <c r="V45" s="165">
        <f>'2018 RAW DATA'!N14</f>
        <v>893111</v>
      </c>
      <c r="W45" s="165">
        <f>'2018 RAW DATA'!M14</f>
        <v>194457</v>
      </c>
      <c r="X45" s="165">
        <f t="shared" si="56"/>
        <v>1087568</v>
      </c>
      <c r="Y45" s="167">
        <f t="shared" si="57"/>
        <v>0.82120014564606536</v>
      </c>
      <c r="Z45" s="165">
        <f>'2019 RAW DATA'!N14</f>
        <v>859302</v>
      </c>
      <c r="AA45" s="165">
        <f>'2019 RAW DATA'!M14</f>
        <v>136596</v>
      </c>
      <c r="AB45" s="165">
        <f t="shared" si="58"/>
        <v>995898</v>
      </c>
      <c r="AC45" s="239">
        <f t="shared" si="59"/>
        <v>0.86284137532156913</v>
      </c>
      <c r="AD45" s="239"/>
      <c r="AE45" s="239"/>
      <c r="AF45" s="239"/>
      <c r="AG45" s="464">
        <v>278303</v>
      </c>
      <c r="AH45" s="339">
        <v>0.01</v>
      </c>
      <c r="AI45" s="348">
        <f t="shared" si="38"/>
        <v>867895.02</v>
      </c>
      <c r="AJ45" s="116">
        <f t="shared" si="60"/>
        <v>281086.03000000003</v>
      </c>
      <c r="AK45" s="345">
        <f t="shared" si="61"/>
        <v>586808.99</v>
      </c>
      <c r="AL45" s="345">
        <f t="shared" si="39"/>
        <v>419047.99</v>
      </c>
      <c r="AM45" s="345">
        <f t="shared" si="40"/>
        <v>1005856.98</v>
      </c>
      <c r="AN45" s="349">
        <f t="shared" si="41"/>
        <v>0.58339207428873241</v>
      </c>
      <c r="AO45" s="173">
        <f>'2020 RAW DATA'!N14</f>
        <v>2326169</v>
      </c>
      <c r="AP45" s="172">
        <f>'2020 RAW DATA'!M14</f>
        <v>291219</v>
      </c>
      <c r="AQ45" s="172">
        <f t="shared" si="62"/>
        <v>2617388</v>
      </c>
      <c r="AR45" s="167">
        <f t="shared" si="63"/>
        <v>0.88873678644511245</v>
      </c>
      <c r="AS45" s="257">
        <f t="shared" si="64"/>
        <v>592677.07990000001</v>
      </c>
      <c r="AT45" s="256">
        <f t="shared" si="65"/>
        <v>283896.89030000003</v>
      </c>
      <c r="AU45" s="354">
        <f t="shared" si="66"/>
        <v>590581.83995000017</v>
      </c>
      <c r="AV45" s="257">
        <f t="shared" si="67"/>
        <v>425333.70984999993</v>
      </c>
      <c r="AW45" s="354">
        <f t="shared" si="42"/>
        <v>1015915.5498</v>
      </c>
      <c r="AX45" s="261">
        <f t="shared" si="95"/>
        <v>0.58132965881491439</v>
      </c>
      <c r="AY45" s="173">
        <f>'2021 RAW Data'!N14</f>
        <v>1192428</v>
      </c>
      <c r="AZ45" s="172">
        <f>'2021 RAW Data'!M14</f>
        <v>168577</v>
      </c>
      <c r="BA45" s="172">
        <f t="shared" si="97"/>
        <v>1361005</v>
      </c>
      <c r="BB45" s="167">
        <f t="shared" si="68"/>
        <v>0.87613785401229238</v>
      </c>
      <c r="BC45" s="257">
        <f t="shared" si="69"/>
        <v>596487.65834950015</v>
      </c>
      <c r="BD45" s="256">
        <f t="shared" si="70"/>
        <v>286735.85920299997</v>
      </c>
      <c r="BE45" s="354">
        <f t="shared" si="71"/>
        <v>594360.98980025004</v>
      </c>
      <c r="BF45" s="257">
        <f t="shared" si="72"/>
        <v>431713.71549774986</v>
      </c>
      <c r="BG45" s="257">
        <f t="shared" si="43"/>
        <v>1026074.7052979999</v>
      </c>
      <c r="BH45" s="261">
        <f t="shared" si="73"/>
        <v>0.57925703336350298</v>
      </c>
      <c r="BI45" s="260">
        <f t="shared" si="74"/>
        <v>600304.59969825251</v>
      </c>
      <c r="BJ45" s="256">
        <f t="shared" si="75"/>
        <v>289603.21779502998</v>
      </c>
      <c r="BK45" s="257">
        <f t="shared" si="110"/>
        <v>598146.03112076398</v>
      </c>
      <c r="BL45" s="257">
        <f t="shared" si="76"/>
        <v>438189.42123021604</v>
      </c>
      <c r="BM45" s="257">
        <f t="shared" si="96"/>
        <v>1036335.45235098</v>
      </c>
      <c r="BN45" s="261">
        <f t="shared" si="77"/>
        <v>0.57717414739005513</v>
      </c>
      <c r="BO45" s="260">
        <f t="shared" si="78"/>
        <v>604127.49143197166</v>
      </c>
      <c r="BP45" s="256">
        <f t="shared" si="79"/>
        <v>292499.24997298029</v>
      </c>
      <c r="BQ45" s="257">
        <f t="shared" si="111"/>
        <v>601936.54432582052</v>
      </c>
      <c r="BR45" s="257">
        <f t="shared" si="80"/>
        <v>444762.26254866924</v>
      </c>
      <c r="BS45" s="257">
        <f t="shared" si="81"/>
        <v>1046698.8068744898</v>
      </c>
      <c r="BT45" s="261">
        <f t="shared" si="82"/>
        <v>0.5750809500999069</v>
      </c>
      <c r="BU45" s="260">
        <f t="shared" si="98"/>
        <v>607955.90976907872</v>
      </c>
      <c r="BV45" s="256">
        <f t="shared" si="99"/>
        <v>295424.24247271015</v>
      </c>
      <c r="BW45" s="257">
        <f t="shared" si="100"/>
        <v>605732.09845633572</v>
      </c>
      <c r="BX45" s="257">
        <f t="shared" si="101"/>
        <v>451433.69648689922</v>
      </c>
      <c r="BY45" s="257">
        <f t="shared" si="102"/>
        <v>1057165.7949432349</v>
      </c>
      <c r="BZ45" s="261">
        <f t="shared" si="103"/>
        <v>0.5729773904469363</v>
      </c>
      <c r="CA45" s="260">
        <f t="shared" si="104"/>
        <v>611789.41944089904</v>
      </c>
      <c r="CB45" s="256">
        <f t="shared" si="105"/>
        <v>298378.48489743716</v>
      </c>
      <c r="CC45" s="257">
        <f t="shared" si="106"/>
        <v>609532.25095846422</v>
      </c>
      <c r="CD45" s="257">
        <f t="shared" si="107"/>
        <v>458205.20193420269</v>
      </c>
      <c r="CE45" s="257">
        <f t="shared" si="108"/>
        <v>1067737.4528926669</v>
      </c>
      <c r="CF45" s="261">
        <f t="shared" si="109"/>
        <v>0.57086341713231703</v>
      </c>
    </row>
    <row r="46" spans="1:93" x14ac:dyDescent="0.35">
      <c r="A46" s="56" t="s">
        <v>81</v>
      </c>
      <c r="B46" s="309">
        <f>'2014 RAW DATA'!N15</f>
        <v>6228709.3561643837</v>
      </c>
      <c r="C46" s="341">
        <f>'2014 RAW DATA'!M15</f>
        <v>5212206.8109589042</v>
      </c>
      <c r="D46" s="310">
        <f t="shared" si="46"/>
        <v>11440916.167123288</v>
      </c>
      <c r="E46" s="167">
        <f t="shared" si="47"/>
        <v>0.5444240011183068</v>
      </c>
      <c r="F46" s="173">
        <f>'2015 RAW DATA'!N15</f>
        <v>6518741.6375999991</v>
      </c>
      <c r="G46" s="293">
        <f>'2015 RAW DATA'!M15</f>
        <v>5709798.933252003</v>
      </c>
      <c r="H46" s="172">
        <f t="shared" si="48"/>
        <v>12228540.570852002</v>
      </c>
      <c r="I46" s="167">
        <f t="shared" si="49"/>
        <v>0.53307601179637887</v>
      </c>
      <c r="J46" s="173">
        <f>'2016 RAW DATA'!N15</f>
        <v>18300.00557444384</v>
      </c>
      <c r="K46" s="293">
        <f>'2016 RAW DATA'!M15</f>
        <v>16504.71217574794</v>
      </c>
      <c r="L46" s="172">
        <f t="shared" si="50"/>
        <v>34804.717750191776</v>
      </c>
      <c r="M46" s="167">
        <f t="shared" si="51"/>
        <v>0.52579094896820433</v>
      </c>
      <c r="N46" s="173">
        <f>+'2017 RAW DATA'!N15</f>
        <v>5763889</v>
      </c>
      <c r="O46" s="293">
        <f>+'2017 RAW DATA'!M15</f>
        <v>1251159</v>
      </c>
      <c r="P46" s="172">
        <f t="shared" si="52"/>
        <v>7015048</v>
      </c>
      <c r="Q46" s="167">
        <f t="shared" si="53"/>
        <v>0.82164640926191812</v>
      </c>
      <c r="R46" s="165">
        <f>'2017 NEW RAW DATA '!N15</f>
        <v>5564149</v>
      </c>
      <c r="S46" s="165">
        <f>'2017 NEW RAW DATA '!M15</f>
        <v>1042129</v>
      </c>
      <c r="T46" s="165">
        <f t="shared" si="54"/>
        <v>6606278</v>
      </c>
      <c r="U46" s="167">
        <f t="shared" si="55"/>
        <v>0.84225171874389781</v>
      </c>
      <c r="V46" s="165">
        <f>'2018 RAW DATA'!N15</f>
        <v>5930510</v>
      </c>
      <c r="W46" s="165">
        <f>'2018 RAW DATA'!M15</f>
        <v>882782</v>
      </c>
      <c r="X46" s="165">
        <f t="shared" si="56"/>
        <v>6813292</v>
      </c>
      <c r="Y46" s="167">
        <f t="shared" si="57"/>
        <v>0.87043238422777125</v>
      </c>
      <c r="Z46" s="165">
        <f>'2019 RAW DATA'!N15</f>
        <v>7226577</v>
      </c>
      <c r="AA46" s="165">
        <f>'2019 RAW DATA'!M15</f>
        <v>723201</v>
      </c>
      <c r="AB46" s="165">
        <f t="shared" si="58"/>
        <v>7949778</v>
      </c>
      <c r="AC46" s="239">
        <f t="shared" si="59"/>
        <v>0.90902878042632129</v>
      </c>
      <c r="AD46" s="239"/>
      <c r="AE46" s="239"/>
      <c r="AF46" s="239"/>
      <c r="AG46" s="464">
        <v>1151140</v>
      </c>
      <c r="AH46" s="339">
        <v>0.02</v>
      </c>
      <c r="AI46" s="348">
        <f t="shared" si="38"/>
        <v>7371108.54</v>
      </c>
      <c r="AJ46" s="116">
        <f t="shared" si="60"/>
        <v>1174162.8</v>
      </c>
      <c r="AK46" s="345">
        <f t="shared" si="61"/>
        <v>6196945.7400000002</v>
      </c>
      <c r="AL46" s="345">
        <f t="shared" si="39"/>
        <v>1911827.82</v>
      </c>
      <c r="AM46" s="345">
        <f t="shared" si="40"/>
        <v>8108773.5600000005</v>
      </c>
      <c r="AN46" s="349">
        <f t="shared" si="41"/>
        <v>0.76422725263523084</v>
      </c>
      <c r="AO46" s="173">
        <f>'2020 RAW DATA'!N15</f>
        <v>20618755</v>
      </c>
      <c r="AP46" s="172">
        <f>'2020 RAW DATA'!M15</f>
        <v>1457569</v>
      </c>
      <c r="AQ46" s="172">
        <f t="shared" si="62"/>
        <v>22076324</v>
      </c>
      <c r="AR46" s="167">
        <f t="shared" si="63"/>
        <v>0.93397591917929812</v>
      </c>
      <c r="AS46" s="257">
        <f t="shared" si="64"/>
        <v>6320884.6548000006</v>
      </c>
      <c r="AT46" s="256">
        <f t="shared" si="65"/>
        <v>1197646.0560000001</v>
      </c>
      <c r="AU46" s="354">
        <f t="shared" si="66"/>
        <v>6301766.3766000001</v>
      </c>
      <c r="AV46" s="257">
        <f t="shared" si="67"/>
        <v>1969182.6546</v>
      </c>
      <c r="AW46" s="354">
        <f t="shared" si="42"/>
        <v>8270949.0312000001</v>
      </c>
      <c r="AX46" s="261">
        <f t="shared" si="95"/>
        <v>0.76191575511204679</v>
      </c>
      <c r="AY46" s="173">
        <f>'2021 RAW Data'!N15</f>
        <v>10797310</v>
      </c>
      <c r="AZ46" s="172">
        <f>'2021 RAW Data'!M15</f>
        <v>510059</v>
      </c>
      <c r="BA46" s="172">
        <f t="shared" si="97"/>
        <v>11307369</v>
      </c>
      <c r="BB46" s="167">
        <f t="shared" si="68"/>
        <v>0.95489145176035206</v>
      </c>
      <c r="BC46" s="257">
        <f t="shared" si="69"/>
        <v>6427801.704132</v>
      </c>
      <c r="BD46" s="256">
        <f t="shared" si="70"/>
        <v>1221598.9771199999</v>
      </c>
      <c r="BE46" s="354">
        <f t="shared" si="71"/>
        <v>6408109.8775859987</v>
      </c>
      <c r="BF46" s="257">
        <f t="shared" si="72"/>
        <v>2028258.134238</v>
      </c>
      <c r="BG46" s="257">
        <f t="shared" si="43"/>
        <v>8436368.0118239988</v>
      </c>
      <c r="BH46" s="261">
        <f t="shared" si="73"/>
        <v>0.75958159584843943</v>
      </c>
      <c r="BI46" s="260">
        <f t="shared" si="74"/>
        <v>6536272.0751377186</v>
      </c>
      <c r="BJ46" s="256">
        <f t="shared" si="75"/>
        <v>1246030.9566623999</v>
      </c>
      <c r="BK46" s="257">
        <f t="shared" si="110"/>
        <v>6515989.493795339</v>
      </c>
      <c r="BL46" s="257">
        <f t="shared" si="76"/>
        <v>2089105.8782651401</v>
      </c>
      <c r="BM46" s="257">
        <f t="shared" si="96"/>
        <v>8605095.3720604796</v>
      </c>
      <c r="BN46" s="261">
        <f t="shared" si="77"/>
        <v>0.75722455267048283</v>
      </c>
      <c r="BO46" s="260">
        <f t="shared" si="78"/>
        <v>6646309.2836712459</v>
      </c>
      <c r="BP46" s="256">
        <f t="shared" si="79"/>
        <v>1270951.5757956479</v>
      </c>
      <c r="BQ46" s="257">
        <f t="shared" si="111"/>
        <v>6625418.2248885948</v>
      </c>
      <c r="BR46" s="257">
        <f t="shared" si="80"/>
        <v>2151779.0546130943</v>
      </c>
      <c r="BS46" s="257">
        <f t="shared" si="81"/>
        <v>8777197.2795016896</v>
      </c>
      <c r="BT46" s="261">
        <f t="shared" si="82"/>
        <v>0.75484440122607588</v>
      </c>
      <c r="BU46" s="260">
        <f t="shared" si="98"/>
        <v>6757926.5893863672</v>
      </c>
      <c r="BV46" s="256">
        <f t="shared" si="99"/>
        <v>1296370.607311561</v>
      </c>
      <c r="BW46" s="257">
        <f t="shared" si="100"/>
        <v>6736408.7988402359</v>
      </c>
      <c r="BX46" s="257">
        <f t="shared" si="101"/>
        <v>2216332.4262514873</v>
      </c>
      <c r="BY46" s="257">
        <f t="shared" si="102"/>
        <v>8952741.2250917237</v>
      </c>
      <c r="BZ46" s="261">
        <f t="shared" si="103"/>
        <v>0.75244091496358634</v>
      </c>
      <c r="CA46" s="260">
        <f t="shared" si="104"/>
        <v>6871136.9748170404</v>
      </c>
      <c r="CB46" s="256">
        <f t="shared" si="105"/>
        <v>1322298.0194577919</v>
      </c>
      <c r="CC46" s="257">
        <f t="shared" si="106"/>
        <v>6848973.6505545247</v>
      </c>
      <c r="CD46" s="257">
        <f t="shared" si="107"/>
        <v>2282822.3990390319</v>
      </c>
      <c r="CE46" s="257">
        <f t="shared" si="108"/>
        <v>9131796.0495935567</v>
      </c>
      <c r="CF46" s="261">
        <f t="shared" si="109"/>
        <v>0.75001386511028822</v>
      </c>
    </row>
    <row r="47" spans="1:93" x14ac:dyDescent="0.35">
      <c r="A47" s="56" t="s">
        <v>82</v>
      </c>
      <c r="B47" s="309">
        <f>'2014 RAW DATA'!N16</f>
        <v>44431471.424657531</v>
      </c>
      <c r="C47" s="341">
        <f>'2014 RAW DATA'!M16</f>
        <v>47816664.901369862</v>
      </c>
      <c r="D47" s="310">
        <f t="shared" si="46"/>
        <v>92248136.326027393</v>
      </c>
      <c r="E47" s="167">
        <f t="shared" si="47"/>
        <v>0.4816516971966337</v>
      </c>
      <c r="F47" s="173">
        <f>'2015 RAW DATA'!N16</f>
        <v>48586888.279661961</v>
      </c>
      <c r="G47" s="293">
        <f>'2015 RAW DATA'!M16</f>
        <v>47392408.510944083</v>
      </c>
      <c r="H47" s="172">
        <f t="shared" si="48"/>
        <v>95979296.790606052</v>
      </c>
      <c r="I47" s="167">
        <f t="shared" si="49"/>
        <v>0.50622259074956455</v>
      </c>
      <c r="J47" s="173">
        <f>'2016 RAW DATA'!N16</f>
        <v>53934345.584987946</v>
      </c>
      <c r="K47" s="293">
        <f>'2016 RAW DATA'!M16</f>
        <v>53539188.898254037</v>
      </c>
      <c r="L47" s="172">
        <f t="shared" si="50"/>
        <v>107473534.48324198</v>
      </c>
      <c r="M47" s="167">
        <f t="shared" si="51"/>
        <v>0.50183839067280112</v>
      </c>
      <c r="N47" s="173">
        <f>+'2017 RAW DATA'!N16</f>
        <v>58524698</v>
      </c>
      <c r="O47" s="293">
        <f>+'2017 RAW DATA'!M16</f>
        <v>21416369</v>
      </c>
      <c r="P47" s="172">
        <f t="shared" si="52"/>
        <v>79941067</v>
      </c>
      <c r="Q47" s="167">
        <f t="shared" si="53"/>
        <v>0.73209803416809538</v>
      </c>
      <c r="R47" s="165">
        <f>'2017 NEW RAW DATA '!N16</f>
        <v>62919665</v>
      </c>
      <c r="S47" s="165">
        <f>'2017 NEW RAW DATA '!M16</f>
        <v>20884067</v>
      </c>
      <c r="T47" s="165">
        <f t="shared" si="54"/>
        <v>83803732</v>
      </c>
      <c r="U47" s="167">
        <f t="shared" si="55"/>
        <v>0.7507978880940529</v>
      </c>
      <c r="V47" s="165">
        <f>'2018 RAW DATA'!N16</f>
        <v>68649919</v>
      </c>
      <c r="W47" s="165">
        <f>'2018 RAW DATA'!M16</f>
        <v>20733950</v>
      </c>
      <c r="X47" s="165">
        <f t="shared" si="56"/>
        <v>89383869</v>
      </c>
      <c r="Y47" s="167">
        <f t="shared" si="57"/>
        <v>0.76803476698910855</v>
      </c>
      <c r="Z47" s="165">
        <f>'2019 RAW DATA'!N16</f>
        <v>66652075</v>
      </c>
      <c r="AA47" s="165">
        <f>'2019 RAW DATA'!M16</f>
        <v>14709166</v>
      </c>
      <c r="AB47" s="165">
        <f t="shared" si="58"/>
        <v>81361241</v>
      </c>
      <c r="AC47" s="239">
        <f t="shared" si="59"/>
        <v>0.8192116317399829</v>
      </c>
      <c r="AD47" s="239"/>
      <c r="AE47" s="239"/>
      <c r="AF47" s="239"/>
      <c r="AG47" s="464">
        <v>6843655</v>
      </c>
      <c r="AH47" s="339">
        <v>0.04</v>
      </c>
      <c r="AI47" s="348">
        <f t="shared" si="38"/>
        <v>69318158</v>
      </c>
      <c r="AJ47" s="116">
        <f t="shared" si="60"/>
        <v>7117401.2000000002</v>
      </c>
      <c r="AK47" s="345">
        <f t="shared" si="61"/>
        <v>62200756.799999997</v>
      </c>
      <c r="AL47" s="345">
        <f t="shared" si="39"/>
        <v>22414933.84</v>
      </c>
      <c r="AM47" s="345">
        <f t="shared" si="40"/>
        <v>84615690.640000001</v>
      </c>
      <c r="AN47" s="349">
        <f t="shared" si="41"/>
        <v>0.73509719449829924</v>
      </c>
      <c r="AO47" s="173">
        <f>'2020 RAW DATA'!N16</f>
        <v>97829942</v>
      </c>
      <c r="AP47" s="172">
        <f>'2020 RAW DATA'!M16</f>
        <v>11399547</v>
      </c>
      <c r="AQ47" s="172">
        <f t="shared" si="62"/>
        <v>109229489</v>
      </c>
      <c r="AR47" s="167">
        <f t="shared" si="63"/>
        <v>0.89563672681834117</v>
      </c>
      <c r="AS47" s="257">
        <f t="shared" si="64"/>
        <v>64688787.071999997</v>
      </c>
      <c r="AT47" s="256">
        <f t="shared" si="65"/>
        <v>7402097.2480000006</v>
      </c>
      <c r="AU47" s="354">
        <f t="shared" si="66"/>
        <v>64240488.395200014</v>
      </c>
      <c r="AV47" s="257">
        <f t="shared" si="67"/>
        <v>23759829.8704</v>
      </c>
      <c r="AW47" s="354">
        <f t="shared" si="42"/>
        <v>88000318.265600011</v>
      </c>
      <c r="AX47" s="261">
        <f t="shared" si="95"/>
        <v>0.7300029097771128</v>
      </c>
      <c r="AY47" s="173">
        <f>'2021 RAW Data'!N16</f>
        <v>96088115</v>
      </c>
      <c r="AZ47" s="172">
        <f>'2021 RAW Data'!M16</f>
        <v>11546706</v>
      </c>
      <c r="BA47" s="172">
        <f t="shared" si="97"/>
        <v>107634821</v>
      </c>
      <c r="BB47" s="167">
        <f t="shared" si="68"/>
        <v>0.89272332231592599</v>
      </c>
      <c r="BC47" s="257">
        <f t="shared" si="69"/>
        <v>66810107.931008019</v>
      </c>
      <c r="BD47" s="256">
        <f t="shared" si="70"/>
        <v>7698181.1379200006</v>
      </c>
      <c r="BE47" s="354">
        <f t="shared" si="71"/>
        <v>66334911.3336</v>
      </c>
      <c r="BF47" s="257">
        <f t="shared" si="72"/>
        <v>25185419.662624002</v>
      </c>
      <c r="BG47" s="257">
        <f t="shared" si="43"/>
        <v>91520330.996224001</v>
      </c>
      <c r="BH47" s="261">
        <f t="shared" si="73"/>
        <v>0.72481065804205713</v>
      </c>
      <c r="BI47" s="260">
        <f t="shared" si="74"/>
        <v>68988307.786944002</v>
      </c>
      <c r="BJ47" s="256">
        <f t="shared" si="75"/>
        <v>8006108.3834368018</v>
      </c>
      <c r="BK47" s="257">
        <f t="shared" si="110"/>
        <v>68484599.393691525</v>
      </c>
      <c r="BL47" s="257">
        <f t="shared" si="76"/>
        <v>26696544.842381444</v>
      </c>
      <c r="BM47" s="257">
        <f t="shared" si="96"/>
        <v>95181144.236072972</v>
      </c>
      <c r="BN47" s="261">
        <f t="shared" si="77"/>
        <v>0.71951855531209674</v>
      </c>
      <c r="BO47" s="260">
        <f t="shared" si="78"/>
        <v>71223983.369439185</v>
      </c>
      <c r="BP47" s="256">
        <f t="shared" si="79"/>
        <v>8326352.718774274</v>
      </c>
      <c r="BQ47" s="257">
        <f t="shared" si="111"/>
        <v>70690052.472591579</v>
      </c>
      <c r="BR47" s="257">
        <f t="shared" si="80"/>
        <v>28298337.532924332</v>
      </c>
      <c r="BS47" s="257">
        <f t="shared" si="81"/>
        <v>98988390.005515903</v>
      </c>
      <c r="BT47" s="261">
        <f t="shared" si="82"/>
        <v>0.71412468137579099</v>
      </c>
      <c r="BU47" s="260">
        <f t="shared" si="98"/>
        <v>73517654.57149525</v>
      </c>
      <c r="BV47" s="256">
        <f t="shared" si="99"/>
        <v>8659406.827525245</v>
      </c>
      <c r="BW47" s="257">
        <f t="shared" si="100"/>
        <v>72951687.820836753</v>
      </c>
      <c r="BX47" s="257">
        <f t="shared" si="101"/>
        <v>29996237.784899794</v>
      </c>
      <c r="BY47" s="257">
        <f t="shared" si="102"/>
        <v>102947925.60573654</v>
      </c>
      <c r="BZ47" s="261">
        <f t="shared" si="103"/>
        <v>0.70862707909455624</v>
      </c>
      <c r="CA47" s="260">
        <f t="shared" si="104"/>
        <v>75869755.333670229</v>
      </c>
      <c r="CB47" s="256">
        <f t="shared" si="105"/>
        <v>9005783.1006262545</v>
      </c>
      <c r="CC47" s="257">
        <f t="shared" si="106"/>
        <v>75269830.577972203</v>
      </c>
      <c r="CD47" s="257">
        <f t="shared" si="107"/>
        <v>31796012.051993784</v>
      </c>
      <c r="CE47" s="257">
        <f t="shared" si="108"/>
        <v>107065842.62996599</v>
      </c>
      <c r="CF47" s="261">
        <f t="shared" si="109"/>
        <v>0.70302375369252823</v>
      </c>
    </row>
    <row r="48" spans="1:93" x14ac:dyDescent="0.35">
      <c r="A48" s="56" t="s">
        <v>83</v>
      </c>
      <c r="B48" s="309">
        <f>'2014 RAW DATA'!N17</f>
        <v>4090248.9726027399</v>
      </c>
      <c r="C48" s="341">
        <f>'2014 RAW DATA'!M17</f>
        <v>439685.03397260275</v>
      </c>
      <c r="D48" s="310">
        <f t="shared" si="46"/>
        <v>4529934.0065753423</v>
      </c>
      <c r="E48" s="167">
        <f t="shared" si="47"/>
        <v>0.90293787208944198</v>
      </c>
      <c r="F48" s="173">
        <f>'2015 RAW DATA'!N17</f>
        <v>4092445.2756899982</v>
      </c>
      <c r="G48" s="293">
        <f>'2015 RAW DATA'!M17</f>
        <v>416430.90357000002</v>
      </c>
      <c r="H48" s="172">
        <f t="shared" si="48"/>
        <v>4508876.1792599978</v>
      </c>
      <c r="I48" s="167">
        <f t="shared" si="49"/>
        <v>0.9076419739611602</v>
      </c>
      <c r="J48" s="173">
        <f>'2016 RAW DATA'!N17</f>
        <v>5316332.6443379978</v>
      </c>
      <c r="K48" s="293">
        <f>'2016 RAW DATA'!M17</f>
        <v>322536.85009200004</v>
      </c>
      <c r="L48" s="172">
        <f t="shared" si="50"/>
        <v>5638869.4944299981</v>
      </c>
      <c r="M48" s="167">
        <f t="shared" si="51"/>
        <v>0.94280115005133602</v>
      </c>
      <c r="N48" s="173">
        <f>+'2017 RAW DATA'!N17</f>
        <v>4336111</v>
      </c>
      <c r="O48" s="293">
        <f>+'2017 RAW DATA'!M17</f>
        <v>147535</v>
      </c>
      <c r="P48" s="172">
        <f t="shared" si="52"/>
        <v>4483646</v>
      </c>
      <c r="Q48" s="167">
        <f t="shared" si="53"/>
        <v>0.96709485985289645</v>
      </c>
      <c r="R48" s="165">
        <f>'2017 NEW RAW DATA '!N17</f>
        <v>4020217</v>
      </c>
      <c r="S48" s="165">
        <f>'2017 NEW RAW DATA '!M17</f>
        <v>67761</v>
      </c>
      <c r="T48" s="165">
        <f t="shared" si="54"/>
        <v>4087978</v>
      </c>
      <c r="U48" s="167">
        <f t="shared" si="55"/>
        <v>0.98342432371211386</v>
      </c>
      <c r="V48" s="165">
        <f>'2018 RAW DATA'!N17</f>
        <v>4332781</v>
      </c>
      <c r="W48" s="165">
        <f>'2018 RAW DATA'!M17</f>
        <v>31404</v>
      </c>
      <c r="X48" s="165">
        <f t="shared" si="56"/>
        <v>4364185</v>
      </c>
      <c r="Y48" s="167">
        <f t="shared" si="57"/>
        <v>0.99280415472762951</v>
      </c>
      <c r="Z48" s="165">
        <f>'2019 RAW DATA'!N17</f>
        <v>2575552</v>
      </c>
      <c r="AA48" s="165">
        <f>'2019 RAW DATA'!M17</f>
        <v>282162</v>
      </c>
      <c r="AB48" s="165">
        <f t="shared" si="58"/>
        <v>2857714</v>
      </c>
      <c r="AC48" s="239">
        <f t="shared" si="59"/>
        <v>0.90126303751879999</v>
      </c>
      <c r="AD48" s="239"/>
      <c r="AE48" s="239"/>
      <c r="AF48" s="239"/>
      <c r="AG48" s="464">
        <v>236085</v>
      </c>
      <c r="AH48" s="339">
        <v>0.01</v>
      </c>
      <c r="AI48" s="348">
        <f t="shared" si="38"/>
        <v>2601307.52</v>
      </c>
      <c r="AJ48" s="116">
        <f t="shared" si="60"/>
        <v>238445.85</v>
      </c>
      <c r="AK48" s="345">
        <f t="shared" si="61"/>
        <v>2362861.67</v>
      </c>
      <c r="AL48" s="345">
        <f t="shared" si="39"/>
        <v>523429.47</v>
      </c>
      <c r="AM48" s="345">
        <f t="shared" si="40"/>
        <v>2886291.14</v>
      </c>
      <c r="AN48" s="349">
        <f t="shared" si="41"/>
        <v>0.81864980190459924</v>
      </c>
      <c r="AO48" s="173">
        <f>'2020 RAW DATA'!N17</f>
        <v>4549912</v>
      </c>
      <c r="AP48" s="172">
        <f>'2020 RAW DATA'!M17</f>
        <v>372835</v>
      </c>
      <c r="AQ48" s="172">
        <f t="shared" si="62"/>
        <v>4922747</v>
      </c>
      <c r="AR48" s="167">
        <f t="shared" si="63"/>
        <v>0.9242628150502149</v>
      </c>
      <c r="AS48" s="257">
        <f t="shared" si="64"/>
        <v>2386490.2867000001</v>
      </c>
      <c r="AT48" s="256">
        <f t="shared" si="65"/>
        <v>240830.30850000001</v>
      </c>
      <c r="AU48" s="354">
        <f t="shared" si="66"/>
        <v>2383873.1393500003</v>
      </c>
      <c r="AV48" s="257">
        <f t="shared" si="67"/>
        <v>531280.91204999993</v>
      </c>
      <c r="AW48" s="354">
        <f t="shared" si="42"/>
        <v>2915154.0514000002</v>
      </c>
      <c r="AX48" s="261">
        <f t="shared" si="95"/>
        <v>0.81775202864670127</v>
      </c>
      <c r="AY48" s="173">
        <f>'2021 RAW Data'!N17</f>
        <v>4348767</v>
      </c>
      <c r="AZ48" s="172">
        <f>'2021 RAW Data'!M17</f>
        <v>198770</v>
      </c>
      <c r="BA48" s="172">
        <f t="shared" si="97"/>
        <v>4547537</v>
      </c>
      <c r="BB48" s="167">
        <f t="shared" si="68"/>
        <v>0.95629062501305651</v>
      </c>
      <c r="BC48" s="257">
        <f t="shared" si="69"/>
        <v>2407711.8707435005</v>
      </c>
      <c r="BD48" s="256">
        <f t="shared" si="70"/>
        <v>243238.61158499998</v>
      </c>
      <c r="BE48" s="354">
        <f t="shared" si="71"/>
        <v>2405055.4661832498</v>
      </c>
      <c r="BF48" s="257">
        <f t="shared" si="72"/>
        <v>539250.12573074992</v>
      </c>
      <c r="BG48" s="257">
        <f t="shared" si="43"/>
        <v>2944305.5919139995</v>
      </c>
      <c r="BH48" s="261">
        <f t="shared" si="73"/>
        <v>0.81684981096673448</v>
      </c>
      <c r="BI48" s="260">
        <f t="shared" si="74"/>
        <v>2429106.0208450826</v>
      </c>
      <c r="BJ48" s="256">
        <f t="shared" si="75"/>
        <v>245670.99770085001</v>
      </c>
      <c r="BK48" s="257">
        <f t="shared" si="110"/>
        <v>2426409.7702164291</v>
      </c>
      <c r="BL48" s="257">
        <f t="shared" si="76"/>
        <v>547338.87761671108</v>
      </c>
      <c r="BM48" s="257">
        <f t="shared" si="96"/>
        <v>2973748.6478331401</v>
      </c>
      <c r="BN48" s="261">
        <f t="shared" si="77"/>
        <v>0.8159431268626095</v>
      </c>
      <c r="BO48" s="260">
        <f t="shared" si="78"/>
        <v>2450673.8679185933</v>
      </c>
      <c r="BP48" s="256">
        <f t="shared" si="79"/>
        <v>248127.70767785847</v>
      </c>
      <c r="BQ48" s="257">
        <f t="shared" si="111"/>
        <v>2447937.1735305097</v>
      </c>
      <c r="BR48" s="257">
        <f t="shared" si="80"/>
        <v>555548.96078096167</v>
      </c>
      <c r="BS48" s="257">
        <f t="shared" si="81"/>
        <v>3003486.1343114711</v>
      </c>
      <c r="BT48" s="261">
        <f t="shared" si="82"/>
        <v>0.81503195422331542</v>
      </c>
      <c r="BU48" s="260">
        <f t="shared" si="98"/>
        <v>2472416.5452658148</v>
      </c>
      <c r="BV48" s="256">
        <f t="shared" si="99"/>
        <v>250608.98475463712</v>
      </c>
      <c r="BW48" s="257">
        <f t="shared" si="100"/>
        <v>2469638.8004619107</v>
      </c>
      <c r="BX48" s="257">
        <f t="shared" si="101"/>
        <v>563882.19519267604</v>
      </c>
      <c r="BY48" s="257">
        <f t="shared" si="102"/>
        <v>3033520.9956545867</v>
      </c>
      <c r="BZ48" s="261">
        <f t="shared" si="103"/>
        <v>0.81411627082838134</v>
      </c>
      <c r="CA48" s="260">
        <f t="shared" si="104"/>
        <v>2494335.1884665298</v>
      </c>
      <c r="CB48" s="256">
        <f t="shared" si="105"/>
        <v>253115.07460218342</v>
      </c>
      <c r="CC48" s="257">
        <f t="shared" si="106"/>
        <v>2491515.7774905656</v>
      </c>
      <c r="CD48" s="257">
        <f t="shared" si="107"/>
        <v>572340.42812056607</v>
      </c>
      <c r="CE48" s="257">
        <f t="shared" si="108"/>
        <v>3063856.2056111316</v>
      </c>
      <c r="CF48" s="261">
        <f t="shared" si="109"/>
        <v>0.81319605434733377</v>
      </c>
    </row>
    <row r="49" spans="1:84" x14ac:dyDescent="0.35">
      <c r="A49" s="56" t="s">
        <v>84</v>
      </c>
      <c r="B49" s="309">
        <f>'2014 RAW DATA'!N18</f>
        <v>1997793.2167123288</v>
      </c>
      <c r="C49" s="341">
        <f>'2014 RAW DATA'!M18</f>
        <v>345261.31671232876</v>
      </c>
      <c r="D49" s="310">
        <f t="shared" si="46"/>
        <v>2343054.5334246578</v>
      </c>
      <c r="E49" s="167">
        <f t="shared" si="47"/>
        <v>0.85264477980045661</v>
      </c>
      <c r="F49" s="173">
        <f>'2015 RAW DATA'!N18</f>
        <v>2068875.2859000007</v>
      </c>
      <c r="G49" s="293">
        <f>'2015 RAW DATA'!M18</f>
        <v>428428.52146800008</v>
      </c>
      <c r="H49" s="172">
        <f t="shared" si="48"/>
        <v>2497303.807368001</v>
      </c>
      <c r="I49" s="167">
        <f t="shared" si="49"/>
        <v>0.82844357174166305</v>
      </c>
      <c r="J49" s="173">
        <f>'2016 RAW DATA'!N18</f>
        <v>2403760.1985900002</v>
      </c>
      <c r="K49" s="293">
        <f>'2016 RAW DATA'!M18</f>
        <v>464742.01366199995</v>
      </c>
      <c r="L49" s="172">
        <f t="shared" si="50"/>
        <v>2868502.2122520003</v>
      </c>
      <c r="M49" s="167">
        <f t="shared" si="51"/>
        <v>0.83798443254567301</v>
      </c>
      <c r="N49" s="173">
        <f>+'2017 RAW DATA'!N18</f>
        <v>2181564</v>
      </c>
      <c r="O49" s="293">
        <f>+'2017 RAW DATA'!M18</f>
        <v>264107</v>
      </c>
      <c r="P49" s="172">
        <f t="shared" si="52"/>
        <v>2445671</v>
      </c>
      <c r="Q49" s="167">
        <f t="shared" si="53"/>
        <v>0.89201041350206145</v>
      </c>
      <c r="R49" s="165">
        <f>'2017 NEW RAW DATA '!N18</f>
        <v>1818627</v>
      </c>
      <c r="S49" s="165">
        <f>'2017 NEW RAW DATA '!M18</f>
        <v>180509</v>
      </c>
      <c r="T49" s="165">
        <f t="shared" si="54"/>
        <v>1999136</v>
      </c>
      <c r="U49" s="167">
        <f t="shared" si="55"/>
        <v>0.90970649320506458</v>
      </c>
      <c r="V49" s="165">
        <f>'2018 RAW DATA'!N18</f>
        <v>1903983</v>
      </c>
      <c r="W49" s="165">
        <f>'2018 RAW DATA'!M18</f>
        <v>93109</v>
      </c>
      <c r="X49" s="165">
        <f t="shared" si="56"/>
        <v>1997092</v>
      </c>
      <c r="Y49" s="167">
        <f t="shared" si="57"/>
        <v>0.95337771119207326</v>
      </c>
      <c r="Z49" s="165">
        <f>'2019 RAW DATA'!N18</f>
        <v>1963291</v>
      </c>
      <c r="AA49" s="165">
        <f>'2019 RAW DATA'!M18</f>
        <v>259979</v>
      </c>
      <c r="AB49" s="165">
        <f t="shared" si="58"/>
        <v>2223270</v>
      </c>
      <c r="AC49" s="239">
        <f t="shared" si="59"/>
        <v>0.88306458504814977</v>
      </c>
      <c r="AD49" s="239"/>
      <c r="AE49" s="239"/>
      <c r="AF49" s="239"/>
      <c r="AG49" s="464">
        <v>161585</v>
      </c>
      <c r="AH49" s="339">
        <v>0.03</v>
      </c>
      <c r="AI49" s="348">
        <f t="shared" si="38"/>
        <v>2022189.73</v>
      </c>
      <c r="AJ49" s="116">
        <f t="shared" si="60"/>
        <v>166432.55000000002</v>
      </c>
      <c r="AK49" s="345">
        <f t="shared" si="61"/>
        <v>1855757.18</v>
      </c>
      <c r="AL49" s="345">
        <f t="shared" si="39"/>
        <v>434210.92000000004</v>
      </c>
      <c r="AM49" s="345">
        <f t="shared" si="40"/>
        <v>2289968.1</v>
      </c>
      <c r="AN49" s="349">
        <f t="shared" si="41"/>
        <v>0.81038560318809671</v>
      </c>
      <c r="AO49" s="173">
        <f>'2020 RAW DATA'!N18</f>
        <v>3175077</v>
      </c>
      <c r="AP49" s="172">
        <f>'2020 RAW DATA'!M18</f>
        <v>422601</v>
      </c>
      <c r="AQ49" s="172">
        <f t="shared" si="62"/>
        <v>3597678</v>
      </c>
      <c r="AR49" s="167">
        <f t="shared" si="63"/>
        <v>0.88253506845248519</v>
      </c>
      <c r="AS49" s="257">
        <f t="shared" si="64"/>
        <v>1911429.8954</v>
      </c>
      <c r="AT49" s="256">
        <f t="shared" si="65"/>
        <v>171425.52649999998</v>
      </c>
      <c r="AU49" s="354">
        <f t="shared" si="66"/>
        <v>1904916.7315999996</v>
      </c>
      <c r="AV49" s="257">
        <f t="shared" si="67"/>
        <v>453750.41140000004</v>
      </c>
      <c r="AW49" s="354">
        <f t="shared" si="42"/>
        <v>2358667.1429999997</v>
      </c>
      <c r="AX49" s="261">
        <f t="shared" si="95"/>
        <v>0.8076242284772438</v>
      </c>
      <c r="AY49" s="173">
        <f>'2021 RAW Data'!N18</f>
        <v>2969695</v>
      </c>
      <c r="AZ49" s="172">
        <f>'2021 RAW Data'!M18</f>
        <v>344436</v>
      </c>
      <c r="BA49" s="172">
        <f t="shared" si="97"/>
        <v>3314131</v>
      </c>
      <c r="BB49" s="167">
        <f t="shared" si="68"/>
        <v>0.89607049329069977</v>
      </c>
      <c r="BC49" s="257">
        <f t="shared" si="69"/>
        <v>1962064.2335479995</v>
      </c>
      <c r="BD49" s="256">
        <f t="shared" si="70"/>
        <v>176568.29229499999</v>
      </c>
      <c r="BE49" s="354">
        <f t="shared" si="71"/>
        <v>1955257.977377</v>
      </c>
      <c r="BF49" s="257">
        <f t="shared" si="72"/>
        <v>474169.17991300003</v>
      </c>
      <c r="BG49" s="257">
        <f t="shared" si="43"/>
        <v>2429427.15729</v>
      </c>
      <c r="BH49" s="261">
        <f t="shared" si="73"/>
        <v>0.80482263957157263</v>
      </c>
      <c r="BI49" s="260">
        <f t="shared" si="74"/>
        <v>2013915.7166983101</v>
      </c>
      <c r="BJ49" s="256">
        <f t="shared" si="75"/>
        <v>181865.34106384998</v>
      </c>
      <c r="BK49" s="257">
        <f t="shared" si="110"/>
        <v>2006803.1789996149</v>
      </c>
      <c r="BL49" s="257">
        <f t="shared" si="76"/>
        <v>495506.793009085</v>
      </c>
      <c r="BM49" s="257">
        <f t="shared" si="96"/>
        <v>2502309.9720087</v>
      </c>
      <c r="BN49" s="261">
        <f t="shared" si="77"/>
        <v>0.80198025082746927</v>
      </c>
      <c r="BO49" s="260">
        <f t="shared" si="78"/>
        <v>2067007.2743696035</v>
      </c>
      <c r="BP49" s="256">
        <f t="shared" si="79"/>
        <v>187321.30129576547</v>
      </c>
      <c r="BQ49" s="257">
        <f t="shared" si="111"/>
        <v>2059574.672474467</v>
      </c>
      <c r="BR49" s="257">
        <f t="shared" si="80"/>
        <v>517804.59869449376</v>
      </c>
      <c r="BS49" s="257">
        <f t="shared" si="81"/>
        <v>2577379.2711689607</v>
      </c>
      <c r="BT49" s="261">
        <f t="shared" si="82"/>
        <v>0.79909646807252954</v>
      </c>
      <c r="BU49" s="260">
        <f t="shared" si="98"/>
        <v>2121361.9126487011</v>
      </c>
      <c r="BV49" s="256">
        <f t="shared" si="99"/>
        <v>192940.94033463846</v>
      </c>
      <c r="BW49" s="257">
        <f t="shared" si="100"/>
        <v>2113594.8436682834</v>
      </c>
      <c r="BX49" s="257">
        <f t="shared" si="101"/>
        <v>541105.80563574599</v>
      </c>
      <c r="BY49" s="257">
        <f t="shared" si="102"/>
        <v>2654700.6493040295</v>
      </c>
      <c r="BZ49" s="261">
        <f t="shared" si="103"/>
        <v>0.79617068848135275</v>
      </c>
      <c r="CA49" s="260">
        <f t="shared" si="104"/>
        <v>2177002.6889783321</v>
      </c>
      <c r="CB49" s="256">
        <f t="shared" si="105"/>
        <v>198729.16854467761</v>
      </c>
      <c r="CC49" s="257">
        <f t="shared" si="106"/>
        <v>2168886.1018937961</v>
      </c>
      <c r="CD49" s="257">
        <f t="shared" si="107"/>
        <v>565455.56688935449</v>
      </c>
      <c r="CE49" s="257">
        <f t="shared" si="108"/>
        <v>2734341.6687831506</v>
      </c>
      <c r="CF49" s="261">
        <f t="shared" si="109"/>
        <v>0.79320230044952789</v>
      </c>
    </row>
    <row r="50" spans="1:84" x14ac:dyDescent="0.35">
      <c r="A50" s="56" t="s">
        <v>85</v>
      </c>
      <c r="B50" s="309">
        <f>'2014 RAW DATA'!N19</f>
        <v>3184055.3561643837</v>
      </c>
      <c r="C50" s="341">
        <f>'2014 RAW DATA'!M19</f>
        <v>1059312.8586301368</v>
      </c>
      <c r="D50" s="310">
        <f t="shared" si="46"/>
        <v>4243368.2147945203</v>
      </c>
      <c r="E50" s="167">
        <f t="shared" si="47"/>
        <v>0.75036037293750801</v>
      </c>
      <c r="F50" s="173">
        <f>'2015 RAW DATA'!N19</f>
        <v>3349947.1953120003</v>
      </c>
      <c r="G50" s="293">
        <f>'2015 RAW DATA'!M19</f>
        <v>1146293.9370600001</v>
      </c>
      <c r="H50" s="172">
        <f t="shared" si="48"/>
        <v>4496241.1323720003</v>
      </c>
      <c r="I50" s="167">
        <f t="shared" si="49"/>
        <v>0.74505505747747336</v>
      </c>
      <c r="J50" s="173">
        <f>'2016 RAW DATA'!N19</f>
        <v>4564075.4308320023</v>
      </c>
      <c r="K50" s="293">
        <f>'2016 RAW DATA'!M19</f>
        <v>1325425.5793379997</v>
      </c>
      <c r="L50" s="172">
        <f t="shared" si="50"/>
        <v>5889501.0101700015</v>
      </c>
      <c r="M50" s="167">
        <f t="shared" si="51"/>
        <v>0.77495112454361548</v>
      </c>
      <c r="N50" s="173">
        <f>+'2017 RAW DATA'!N19</f>
        <v>1883543</v>
      </c>
      <c r="O50" s="293">
        <f>+'2017 RAW DATA'!M19</f>
        <v>71692</v>
      </c>
      <c r="P50" s="172">
        <f t="shared" si="52"/>
        <v>1955235</v>
      </c>
      <c r="Q50" s="167">
        <f t="shared" si="53"/>
        <v>0.96333330776095971</v>
      </c>
      <c r="R50" s="165">
        <f>'2017 NEW RAW DATA '!N19</f>
        <v>1643307</v>
      </c>
      <c r="S50" s="165">
        <f>'2017 NEW RAW DATA '!M19</f>
        <v>61392</v>
      </c>
      <c r="T50" s="165">
        <f t="shared" si="54"/>
        <v>1704699</v>
      </c>
      <c r="U50" s="167">
        <f t="shared" si="55"/>
        <v>0.96398660408670389</v>
      </c>
      <c r="V50" s="165">
        <f>'2018 RAW DATA'!N19</f>
        <v>2238922</v>
      </c>
      <c r="W50" s="165">
        <f>'2018 RAW DATA'!M19</f>
        <v>94504</v>
      </c>
      <c r="X50" s="165">
        <f t="shared" si="56"/>
        <v>2333426</v>
      </c>
      <c r="Y50" s="167">
        <f t="shared" si="57"/>
        <v>0.95949989414706105</v>
      </c>
      <c r="Z50" s="165">
        <f>'2019 RAW DATA'!N19</f>
        <v>2251377</v>
      </c>
      <c r="AA50" s="165">
        <f>'2019 RAW DATA'!M19</f>
        <v>97745</v>
      </c>
      <c r="AB50" s="165">
        <f t="shared" si="58"/>
        <v>2349122</v>
      </c>
      <c r="AC50" s="239">
        <f t="shared" si="59"/>
        <v>0.95839083708721817</v>
      </c>
      <c r="AD50" s="239"/>
      <c r="AE50" s="239"/>
      <c r="AF50" s="239"/>
      <c r="AG50" s="464">
        <v>163904</v>
      </c>
      <c r="AH50" s="339">
        <v>0.02</v>
      </c>
      <c r="AI50" s="348">
        <f t="shared" si="38"/>
        <v>2296404.54</v>
      </c>
      <c r="AJ50" s="116">
        <f t="shared" si="60"/>
        <v>167182.08000000002</v>
      </c>
      <c r="AK50" s="345">
        <f t="shared" si="61"/>
        <v>2129222.46</v>
      </c>
      <c r="AL50" s="345">
        <f t="shared" si="39"/>
        <v>266881.98000000004</v>
      </c>
      <c r="AM50" s="345">
        <f t="shared" si="40"/>
        <v>2396104.44</v>
      </c>
      <c r="AN50" s="349">
        <f t="shared" si="41"/>
        <v>0.88861838593312736</v>
      </c>
      <c r="AO50" s="173">
        <f>'2020 RAW DATA'!N19</f>
        <v>3013843</v>
      </c>
      <c r="AP50" s="172">
        <f>'2020 RAW DATA'!M19</f>
        <v>130395</v>
      </c>
      <c r="AQ50" s="172">
        <f t="shared" si="62"/>
        <v>3144238</v>
      </c>
      <c r="AR50" s="167">
        <f t="shared" si="63"/>
        <v>0.95852890271029101</v>
      </c>
      <c r="AS50" s="257">
        <f t="shared" si="64"/>
        <v>2171806.9092000001</v>
      </c>
      <c r="AT50" s="256">
        <f t="shared" si="65"/>
        <v>170525.72159999999</v>
      </c>
      <c r="AU50" s="354">
        <f t="shared" si="66"/>
        <v>2169138.0893999999</v>
      </c>
      <c r="AV50" s="257">
        <f t="shared" si="67"/>
        <v>274888.43940000003</v>
      </c>
      <c r="AW50" s="354">
        <f t="shared" si="42"/>
        <v>2444026.5288</v>
      </c>
      <c r="AX50" s="261">
        <f t="shared" si="95"/>
        <v>0.88752640932462856</v>
      </c>
      <c r="AY50" s="173">
        <f>'2021 RAW Data'!N19</f>
        <v>3054318</v>
      </c>
      <c r="AZ50" s="172">
        <f>'2021 RAW Data'!M19</f>
        <v>136870</v>
      </c>
      <c r="BA50" s="172">
        <f t="shared" si="97"/>
        <v>3191188</v>
      </c>
      <c r="BB50" s="167">
        <f t="shared" si="68"/>
        <v>0.95711001670851104</v>
      </c>
      <c r="BC50" s="257">
        <f t="shared" si="69"/>
        <v>2212520.8511879998</v>
      </c>
      <c r="BD50" s="256">
        <f t="shared" si="70"/>
        <v>173936.23603199999</v>
      </c>
      <c r="BE50" s="354">
        <f t="shared" si="71"/>
        <v>2209771.966794</v>
      </c>
      <c r="BF50" s="257">
        <f t="shared" si="72"/>
        <v>283135.09258200001</v>
      </c>
      <c r="BG50" s="257">
        <f t="shared" si="43"/>
        <v>2492907.059376</v>
      </c>
      <c r="BH50" s="261">
        <f t="shared" si="73"/>
        <v>0.88642372706310535</v>
      </c>
      <c r="BI50" s="260">
        <f t="shared" si="74"/>
        <v>2253967.4061298799</v>
      </c>
      <c r="BJ50" s="256">
        <f t="shared" si="75"/>
        <v>177414.96075264001</v>
      </c>
      <c r="BK50" s="257">
        <f t="shared" si="110"/>
        <v>2251136.0552040599</v>
      </c>
      <c r="BL50" s="257">
        <f t="shared" si="76"/>
        <v>291629.14535946003</v>
      </c>
      <c r="BM50" s="257">
        <f t="shared" si="96"/>
        <v>2542765.2005635197</v>
      </c>
      <c r="BN50" s="261">
        <f t="shared" si="77"/>
        <v>0.88531023419117505</v>
      </c>
      <c r="BO50" s="260">
        <f t="shared" si="78"/>
        <v>2296158.7763081412</v>
      </c>
      <c r="BP50" s="256">
        <f t="shared" si="79"/>
        <v>180963.25996769281</v>
      </c>
      <c r="BQ50" s="257">
        <f t="shared" si="111"/>
        <v>2293242.4848545468</v>
      </c>
      <c r="BR50" s="257">
        <f t="shared" si="80"/>
        <v>300378.01972024381</v>
      </c>
      <c r="BS50" s="257">
        <f t="shared" si="81"/>
        <v>2593620.5045747906</v>
      </c>
      <c r="BT50" s="261">
        <f t="shared" si="82"/>
        <v>0.8841858247224611</v>
      </c>
      <c r="BU50" s="260">
        <f t="shared" si="98"/>
        <v>2339107.334551638</v>
      </c>
      <c r="BV50" s="256">
        <f t="shared" si="99"/>
        <v>184582.52516704667</v>
      </c>
      <c r="BW50" s="257">
        <f t="shared" si="100"/>
        <v>2336103.5543544348</v>
      </c>
      <c r="BX50" s="257">
        <f t="shared" si="101"/>
        <v>309389.36031185114</v>
      </c>
      <c r="BY50" s="257">
        <f t="shared" si="102"/>
        <v>2645492.9146662862</v>
      </c>
      <c r="BZ50" s="261">
        <f t="shared" si="103"/>
        <v>0.88305039163150467</v>
      </c>
      <c r="CA50" s="260">
        <f t="shared" si="104"/>
        <v>2382825.6254415237</v>
      </c>
      <c r="CB50" s="256">
        <f t="shared" si="105"/>
        <v>188274.17567038757</v>
      </c>
      <c r="CC50" s="257">
        <f t="shared" si="106"/>
        <v>2379731.7318384047</v>
      </c>
      <c r="CD50" s="257">
        <f t="shared" si="107"/>
        <v>318671.04112120665</v>
      </c>
      <c r="CE50" s="257">
        <f t="shared" si="108"/>
        <v>2698402.7729596114</v>
      </c>
      <c r="CF50" s="261">
        <f t="shared" si="109"/>
        <v>0.88190382684357826</v>
      </c>
    </row>
    <row r="51" spans="1:84" x14ac:dyDescent="0.35">
      <c r="A51" s="56" t="s">
        <v>86</v>
      </c>
      <c r="B51" s="309">
        <f>'2014 RAW DATA'!N20</f>
        <v>2464619.765479452</v>
      </c>
      <c r="C51" s="341">
        <f>'2014 RAW DATA'!M20</f>
        <v>491632.55041095894</v>
      </c>
      <c r="D51" s="310">
        <f t="shared" si="46"/>
        <v>2956252.3158904109</v>
      </c>
      <c r="E51" s="167">
        <f t="shared" si="47"/>
        <v>0.83369736481275913</v>
      </c>
      <c r="F51" s="173">
        <f>'2015 RAW DATA'!N20</f>
        <v>2615564.3472180013</v>
      </c>
      <c r="G51" s="293">
        <f>'2015 RAW DATA'!M20</f>
        <v>509536.03461000003</v>
      </c>
      <c r="H51" s="172">
        <f t="shared" si="48"/>
        <v>3125100.3818280012</v>
      </c>
      <c r="I51" s="167">
        <f t="shared" si="49"/>
        <v>0.83695370632800248</v>
      </c>
      <c r="J51" s="173">
        <f>'2016 RAW DATA'!N20</f>
        <v>2757319.8735600007</v>
      </c>
      <c r="K51" s="293">
        <f>'2016 RAW DATA'!M20</f>
        <v>483084.31153199991</v>
      </c>
      <c r="L51" s="172">
        <f t="shared" si="50"/>
        <v>3240404.1850920008</v>
      </c>
      <c r="M51" s="167">
        <f t="shared" si="51"/>
        <v>0.8509185015392503</v>
      </c>
      <c r="N51" s="173">
        <f>+'2017 RAW DATA'!N20</f>
        <v>2688412</v>
      </c>
      <c r="O51" s="293">
        <f>+'2017 RAW DATA'!M20</f>
        <v>147535</v>
      </c>
      <c r="P51" s="172">
        <f t="shared" si="52"/>
        <v>2835947</v>
      </c>
      <c r="Q51" s="167">
        <f t="shared" si="53"/>
        <v>0.94797681338896667</v>
      </c>
      <c r="R51" s="165">
        <f>'2017 NEW RAW DATA '!N20</f>
        <v>2607805</v>
      </c>
      <c r="S51" s="165">
        <f>'2017 NEW RAW DATA '!M20</f>
        <v>143893</v>
      </c>
      <c r="T51" s="165">
        <f t="shared" si="54"/>
        <v>2751698</v>
      </c>
      <c r="U51" s="167">
        <f t="shared" si="55"/>
        <v>0.94770756093146846</v>
      </c>
      <c r="V51" s="165">
        <f>'2018 RAW DATA'!N20</f>
        <v>2907210</v>
      </c>
      <c r="W51" s="165">
        <f>'2018 RAW DATA'!M20</f>
        <v>99951</v>
      </c>
      <c r="X51" s="165">
        <f t="shared" si="56"/>
        <v>3007161</v>
      </c>
      <c r="Y51" s="167">
        <f t="shared" si="57"/>
        <v>0.96676233829848157</v>
      </c>
      <c r="Z51" s="165">
        <f>'2019 RAW DATA'!N20</f>
        <v>4569588</v>
      </c>
      <c r="AA51" s="165">
        <f>'2019 RAW DATA'!M20</f>
        <v>394513</v>
      </c>
      <c r="AB51" s="165">
        <f t="shared" si="58"/>
        <v>4964101</v>
      </c>
      <c r="AC51" s="239">
        <f t="shared" si="59"/>
        <v>0.92052679830648088</v>
      </c>
      <c r="AD51" s="239"/>
      <c r="AE51" s="239"/>
      <c r="AF51" s="239"/>
      <c r="AG51" s="464">
        <v>897544</v>
      </c>
      <c r="AH51" s="339">
        <v>0.02</v>
      </c>
      <c r="AI51" s="348">
        <f t="shared" si="38"/>
        <v>4660979.76</v>
      </c>
      <c r="AJ51" s="116">
        <f t="shared" si="60"/>
        <v>915494.88</v>
      </c>
      <c r="AK51" s="345">
        <f t="shared" si="61"/>
        <v>3745484.88</v>
      </c>
      <c r="AL51" s="345">
        <f t="shared" si="39"/>
        <v>1317898.1400000001</v>
      </c>
      <c r="AM51" s="345">
        <f t="shared" si="40"/>
        <v>5063383.0200000005</v>
      </c>
      <c r="AN51" s="349">
        <f t="shared" si="41"/>
        <v>0.73971984051090012</v>
      </c>
      <c r="AO51" s="173">
        <f>'2020 RAW DATA'!N20</f>
        <v>5640436</v>
      </c>
      <c r="AP51" s="172">
        <f>'2020 RAW DATA'!M20</f>
        <v>1040891</v>
      </c>
      <c r="AQ51" s="172">
        <f t="shared" si="62"/>
        <v>6681327</v>
      </c>
      <c r="AR51" s="167">
        <f t="shared" si="63"/>
        <v>0.84420894232537935</v>
      </c>
      <c r="AS51" s="257">
        <f t="shared" si="64"/>
        <v>3820394.5776</v>
      </c>
      <c r="AT51" s="256">
        <f t="shared" si="65"/>
        <v>933804.77760000003</v>
      </c>
      <c r="AU51" s="354">
        <f t="shared" si="66"/>
        <v>3807215.5961999996</v>
      </c>
      <c r="AV51" s="257">
        <f t="shared" si="67"/>
        <v>1357435.0842000002</v>
      </c>
      <c r="AW51" s="354">
        <f t="shared" si="42"/>
        <v>5164650.6804</v>
      </c>
      <c r="AX51" s="261">
        <f t="shared" si="95"/>
        <v>0.73716807424139907</v>
      </c>
      <c r="AY51" s="173">
        <f>'2021 RAW Data'!N20</f>
        <v>5995344</v>
      </c>
      <c r="AZ51" s="172">
        <f>'2021 RAW Data'!M20</f>
        <v>265820</v>
      </c>
      <c r="BA51" s="172">
        <f t="shared" si="97"/>
        <v>6261164</v>
      </c>
      <c r="BB51" s="167">
        <f t="shared" si="68"/>
        <v>0.95754463547033741</v>
      </c>
      <c r="BC51" s="257">
        <f t="shared" si="69"/>
        <v>3883359.9081239998</v>
      </c>
      <c r="BD51" s="256">
        <f t="shared" si="70"/>
        <v>952480.8731519999</v>
      </c>
      <c r="BE51" s="354">
        <f t="shared" si="71"/>
        <v>3869785.5572819989</v>
      </c>
      <c r="BF51" s="257">
        <f t="shared" si="72"/>
        <v>1398158.1367260001</v>
      </c>
      <c r="BG51" s="257">
        <f t="shared" si="43"/>
        <v>5267943.6940079993</v>
      </c>
      <c r="BH51" s="261">
        <f t="shared" si="73"/>
        <v>0.73459129065553042</v>
      </c>
      <c r="BI51" s="260">
        <f t="shared" si="74"/>
        <v>3947181.2684276388</v>
      </c>
      <c r="BJ51" s="256">
        <f t="shared" si="75"/>
        <v>971530.49061503995</v>
      </c>
      <c r="BK51" s="257">
        <f t="shared" si="110"/>
        <v>3933199.6870603804</v>
      </c>
      <c r="BL51" s="257">
        <f t="shared" si="76"/>
        <v>1440102.8808277801</v>
      </c>
      <c r="BM51" s="257">
        <f t="shared" si="96"/>
        <v>5373302.5678881602</v>
      </c>
      <c r="BN51" s="261">
        <f t="shared" si="77"/>
        <v>0.73198924448548675</v>
      </c>
      <c r="BO51" s="260">
        <f t="shared" si="78"/>
        <v>4011863.6808015881</v>
      </c>
      <c r="BP51" s="256">
        <f t="shared" si="79"/>
        <v>990961.10042734083</v>
      </c>
      <c r="BQ51" s="257">
        <f t="shared" si="111"/>
        <v>3997462.6519933096</v>
      </c>
      <c r="BR51" s="257">
        <f t="shared" si="80"/>
        <v>1483305.9672526135</v>
      </c>
      <c r="BS51" s="257">
        <f t="shared" si="81"/>
        <v>5480768.6192459231</v>
      </c>
      <c r="BT51" s="261">
        <f t="shared" si="82"/>
        <v>0.7293616880588738</v>
      </c>
      <c r="BU51" s="260">
        <f t="shared" si="98"/>
        <v>4077411.9050331758</v>
      </c>
      <c r="BV51" s="256">
        <f t="shared" si="99"/>
        <v>1010780.3224358876</v>
      </c>
      <c r="BW51" s="257">
        <f t="shared" si="100"/>
        <v>4062578.8453606497</v>
      </c>
      <c r="BX51" s="257">
        <f t="shared" si="101"/>
        <v>1527805.146270192</v>
      </c>
      <c r="BY51" s="257">
        <f t="shared" si="102"/>
        <v>5590383.991630842</v>
      </c>
      <c r="BZ51" s="261">
        <f t="shared" si="103"/>
        <v>0.72670837127513721</v>
      </c>
      <c r="CA51" s="260">
        <f t="shared" si="104"/>
        <v>4143830.4222678626</v>
      </c>
      <c r="CB51" s="256">
        <f t="shared" si="105"/>
        <v>1030995.9288846052</v>
      </c>
      <c r="CC51" s="257">
        <f t="shared" si="106"/>
        <v>4128552.3708051601</v>
      </c>
      <c r="CD51" s="257">
        <f t="shared" si="107"/>
        <v>1573639.3006582977</v>
      </c>
      <c r="CE51" s="257">
        <f t="shared" si="108"/>
        <v>5702191.6714634579</v>
      </c>
      <c r="CF51" s="261">
        <f t="shared" si="109"/>
        <v>0.72402904158175629</v>
      </c>
    </row>
    <row r="52" spans="1:84" x14ac:dyDescent="0.35">
      <c r="A52" s="56" t="s">
        <v>87</v>
      </c>
      <c r="B52" s="309">
        <f>'2014 RAW DATA'!N21</f>
        <v>3027040.1287671234</v>
      </c>
      <c r="C52" s="341">
        <f>'2014 RAW DATA'!M21</f>
        <v>557696.69999999995</v>
      </c>
      <c r="D52" s="310">
        <f t="shared" si="46"/>
        <v>3584736.8287671236</v>
      </c>
      <c r="E52" s="167">
        <f t="shared" si="47"/>
        <v>0.84442464631586212</v>
      </c>
      <c r="F52" s="173">
        <f>'2015 RAW DATA'!N21</f>
        <v>3468123.1622880008</v>
      </c>
      <c r="G52" s="293">
        <f>'2015 RAW DATA'!M21</f>
        <v>399568.76262599998</v>
      </c>
      <c r="H52" s="172">
        <f t="shared" si="48"/>
        <v>3867691.9249140006</v>
      </c>
      <c r="I52" s="167">
        <f t="shared" si="49"/>
        <v>0.89669064383020003</v>
      </c>
      <c r="J52" s="173">
        <f>'2016 RAW DATA'!N21</f>
        <v>3709659.5957159982</v>
      </c>
      <c r="K52" s="293">
        <f>'2016 RAW DATA'!M21</f>
        <v>533089.14562800003</v>
      </c>
      <c r="L52" s="172">
        <f t="shared" si="50"/>
        <v>4242748.7413439984</v>
      </c>
      <c r="M52" s="167">
        <f t="shared" si="51"/>
        <v>0.87435288344246131</v>
      </c>
      <c r="N52" s="173">
        <f>+'2017 RAW DATA'!N21</f>
        <v>4527702</v>
      </c>
      <c r="O52" s="293">
        <f>+'2017 RAW DATA'!M21</f>
        <v>158853</v>
      </c>
      <c r="P52" s="172">
        <f t="shared" si="52"/>
        <v>4686555</v>
      </c>
      <c r="Q52" s="167">
        <f t="shared" si="53"/>
        <v>0.96610452667257718</v>
      </c>
      <c r="R52" s="165">
        <f>'2017 NEW RAW DATA '!N21</f>
        <v>4388492</v>
      </c>
      <c r="S52" s="165">
        <f>'2017 NEW RAW DATA '!M21</f>
        <v>118321</v>
      </c>
      <c r="T52" s="165">
        <f t="shared" si="54"/>
        <v>4506813</v>
      </c>
      <c r="U52" s="167">
        <f t="shared" si="55"/>
        <v>0.97374619270868346</v>
      </c>
      <c r="V52" s="165">
        <f>'2018 RAW DATA'!N21</f>
        <v>4303643</v>
      </c>
      <c r="W52" s="165">
        <f>'2018 RAW DATA'!M21</f>
        <v>54111</v>
      </c>
      <c r="X52" s="165">
        <f t="shared" si="56"/>
        <v>4357754</v>
      </c>
      <c r="Y52" s="167">
        <f t="shared" si="57"/>
        <v>0.9875828236288694</v>
      </c>
      <c r="Z52" s="165">
        <f>'2019 RAW DATA'!N21</f>
        <v>5492943</v>
      </c>
      <c r="AA52" s="165">
        <f>'2019 RAW DATA'!M21</f>
        <v>222086</v>
      </c>
      <c r="AB52" s="165">
        <f t="shared" si="58"/>
        <v>5715029</v>
      </c>
      <c r="AC52" s="239">
        <f t="shared" si="59"/>
        <v>0.96114000471388683</v>
      </c>
      <c r="AD52" s="239"/>
      <c r="AE52" s="239"/>
      <c r="AF52" s="239"/>
      <c r="AG52" s="464">
        <v>249005</v>
      </c>
      <c r="AH52" s="339">
        <v>0.03</v>
      </c>
      <c r="AI52" s="348">
        <f t="shared" si="38"/>
        <v>5657731.29</v>
      </c>
      <c r="AJ52" s="116">
        <f t="shared" si="60"/>
        <v>256475.15</v>
      </c>
      <c r="AK52" s="345">
        <f t="shared" si="61"/>
        <v>5401256.1399999997</v>
      </c>
      <c r="AL52" s="345">
        <f t="shared" si="39"/>
        <v>485223.73</v>
      </c>
      <c r="AM52" s="345">
        <f t="shared" si="40"/>
        <v>5886479.8700000001</v>
      </c>
      <c r="AN52" s="349">
        <f t="shared" si="41"/>
        <v>0.91756979710864106</v>
      </c>
      <c r="AO52" s="173">
        <f>'2020 RAW DATA'!N21</f>
        <v>8646175</v>
      </c>
      <c r="AP52" s="172">
        <f>'2020 RAW DATA'!M21</f>
        <v>393749</v>
      </c>
      <c r="AQ52" s="172">
        <f t="shared" si="62"/>
        <v>9039924</v>
      </c>
      <c r="AR52" s="167">
        <f t="shared" si="63"/>
        <v>0.95644332850585911</v>
      </c>
      <c r="AS52" s="257">
        <f t="shared" si="64"/>
        <v>5563293.8241999997</v>
      </c>
      <c r="AT52" s="256">
        <f t="shared" si="65"/>
        <v>264169.4045</v>
      </c>
      <c r="AU52" s="354">
        <f t="shared" si="66"/>
        <v>5556015.4682499999</v>
      </c>
      <c r="AV52" s="257">
        <f t="shared" si="67"/>
        <v>507058.79784999997</v>
      </c>
      <c r="AW52" s="354">
        <f t="shared" si="42"/>
        <v>6063074.2660999997</v>
      </c>
      <c r="AX52" s="261">
        <f t="shared" si="95"/>
        <v>0.91636935726070867</v>
      </c>
      <c r="AY52" s="173">
        <f>'2021 RAW Data'!N21</f>
        <v>8635614</v>
      </c>
      <c r="AZ52" s="172">
        <f>'2021 RAW Data'!M21</f>
        <v>255960</v>
      </c>
      <c r="BA52" s="172">
        <f t="shared" si="97"/>
        <v>8891574</v>
      </c>
      <c r="BB52" s="167">
        <f t="shared" si="68"/>
        <v>0.97121319577388665</v>
      </c>
      <c r="BC52" s="257">
        <f t="shared" si="69"/>
        <v>5722695.9322974999</v>
      </c>
      <c r="BD52" s="256">
        <f t="shared" si="70"/>
        <v>272094.48663499998</v>
      </c>
      <c r="BE52" s="354">
        <f t="shared" si="71"/>
        <v>5715090.0503297504</v>
      </c>
      <c r="BF52" s="257">
        <f t="shared" si="72"/>
        <v>529876.44375324994</v>
      </c>
      <c r="BG52" s="257">
        <f t="shared" si="43"/>
        <v>6244966.4940830003</v>
      </c>
      <c r="BH52" s="261">
        <f t="shared" si="73"/>
        <v>0.9151514352790685</v>
      </c>
      <c r="BI52" s="260">
        <f t="shared" si="74"/>
        <v>5886542.7518396433</v>
      </c>
      <c r="BJ52" s="256">
        <f t="shared" si="75"/>
        <v>280257.32123404997</v>
      </c>
      <c r="BK52" s="257">
        <f t="shared" si="110"/>
        <v>5878594.6051833434</v>
      </c>
      <c r="BL52" s="257">
        <f t="shared" si="76"/>
        <v>553720.88372214616</v>
      </c>
      <c r="BM52" s="257">
        <f t="shared" si="96"/>
        <v>6432315.4889054894</v>
      </c>
      <c r="BN52" s="261">
        <f t="shared" si="77"/>
        <v>0.91391577656954037</v>
      </c>
      <c r="BO52" s="260">
        <f t="shared" si="78"/>
        <v>6054952.443338844</v>
      </c>
      <c r="BP52" s="256">
        <f t="shared" si="79"/>
        <v>288665.04087107145</v>
      </c>
      <c r="BQ52" s="257">
        <f t="shared" si="111"/>
        <v>6046646.6300830115</v>
      </c>
      <c r="BR52" s="257">
        <f t="shared" si="80"/>
        <v>578638.3234896427</v>
      </c>
      <c r="BS52" s="257">
        <f t="shared" si="81"/>
        <v>6625284.9535726542</v>
      </c>
      <c r="BT52" s="261">
        <f t="shared" si="82"/>
        <v>0.91266212283026182</v>
      </c>
      <c r="BU52" s="260">
        <f t="shared" si="98"/>
        <v>6228046.0289855022</v>
      </c>
      <c r="BV52" s="256">
        <f t="shared" si="99"/>
        <v>297324.99209720362</v>
      </c>
      <c r="BW52" s="257">
        <f t="shared" si="100"/>
        <v>6219366.4541331576</v>
      </c>
      <c r="BX52" s="257">
        <f t="shared" si="101"/>
        <v>604677.04804667656</v>
      </c>
      <c r="BY52" s="257">
        <f t="shared" si="102"/>
        <v>6824043.5021798341</v>
      </c>
      <c r="BZ52" s="261">
        <f t="shared" si="103"/>
        <v>0.91139021199769288</v>
      </c>
      <c r="CA52" s="260">
        <f t="shared" si="104"/>
        <v>6405947.4477571528</v>
      </c>
      <c r="CB52" s="256">
        <f t="shared" si="105"/>
        <v>306244.74186011974</v>
      </c>
      <c r="CC52" s="257">
        <f t="shared" si="106"/>
        <v>6396877.2920364523</v>
      </c>
      <c r="CD52" s="257">
        <f t="shared" si="107"/>
        <v>631887.51520877692</v>
      </c>
      <c r="CE52" s="257">
        <f t="shared" si="108"/>
        <v>7028764.8072452294</v>
      </c>
      <c r="CF52" s="261">
        <f t="shared" si="109"/>
        <v>0.91009977819183407</v>
      </c>
    </row>
    <row r="53" spans="1:84" x14ac:dyDescent="0.35">
      <c r="A53" s="59" t="s">
        <v>88</v>
      </c>
      <c r="B53" s="309">
        <f>'2014 RAW DATA'!N22</f>
        <v>2081633.8243835615</v>
      </c>
      <c r="C53" s="341">
        <f>'2014 RAW DATA'!M22</f>
        <v>234222.98219178081</v>
      </c>
      <c r="D53" s="310">
        <f t="shared" si="46"/>
        <v>2315856.8065753421</v>
      </c>
      <c r="E53" s="167">
        <f t="shared" si="47"/>
        <v>0.89886119835787848</v>
      </c>
      <c r="F53" s="173">
        <f>'2015 RAW DATA'!N22</f>
        <v>2201827.4277059995</v>
      </c>
      <c r="G53" s="293">
        <f>'2015 RAW DATA'!M22</f>
        <v>207335.72944799997</v>
      </c>
      <c r="H53" s="172">
        <f t="shared" si="48"/>
        <v>2409163.1571539994</v>
      </c>
      <c r="I53" s="167">
        <f t="shared" si="49"/>
        <v>0.91393869326271349</v>
      </c>
      <c r="J53" s="173">
        <f>'2016 RAW DATA'!N22</f>
        <v>2333654.2253820007</v>
      </c>
      <c r="K53" s="293">
        <f>'2016 RAW DATA'!M22</f>
        <v>243288.97395599994</v>
      </c>
      <c r="L53" s="172">
        <f t="shared" si="50"/>
        <v>2576943.1993380007</v>
      </c>
      <c r="M53" s="167">
        <f t="shared" si="51"/>
        <v>0.90559009060871065</v>
      </c>
      <c r="N53" s="173">
        <f>+'2017 RAW DATA'!N22</f>
        <v>1669142</v>
      </c>
      <c r="O53" s="293">
        <f>+'2017 RAW DATA'!M22</f>
        <v>6258</v>
      </c>
      <c r="P53" s="172">
        <f t="shared" si="52"/>
        <v>1675400</v>
      </c>
      <c r="Q53" s="167">
        <f t="shared" si="53"/>
        <v>0.99626477259161994</v>
      </c>
      <c r="R53" s="165">
        <f>'2017 NEW RAW DATA '!N22</f>
        <v>1334290</v>
      </c>
      <c r="S53" s="165">
        <f>'2017 NEW RAW DATA '!M22</f>
        <v>4214</v>
      </c>
      <c r="T53" s="165">
        <f t="shared" si="54"/>
        <v>1338504</v>
      </c>
      <c r="U53" s="167">
        <f t="shared" si="55"/>
        <v>0.99685170907221798</v>
      </c>
      <c r="V53" s="165">
        <f>'2018 RAW DATA'!N22</f>
        <v>1259188</v>
      </c>
      <c r="W53" s="165">
        <f>'2018 RAW DATA'!M22</f>
        <v>37123</v>
      </c>
      <c r="X53" s="165">
        <f t="shared" si="56"/>
        <v>1296311</v>
      </c>
      <c r="Y53" s="167">
        <f t="shared" si="57"/>
        <v>0.97136258197299874</v>
      </c>
      <c r="Z53" s="165">
        <f>'2019 RAW DATA'!N22</f>
        <v>1243525</v>
      </c>
      <c r="AA53" s="165">
        <f>'2019 RAW DATA'!M22</f>
        <v>7052</v>
      </c>
      <c r="AB53" s="165">
        <f t="shared" si="58"/>
        <v>1250577</v>
      </c>
      <c r="AC53" s="239">
        <f t="shared" si="59"/>
        <v>0.99436100296103314</v>
      </c>
      <c r="AD53" s="239"/>
      <c r="AE53" s="239"/>
      <c r="AF53" s="239"/>
      <c r="AG53" s="464">
        <v>68963</v>
      </c>
      <c r="AH53" s="339">
        <v>0.01</v>
      </c>
      <c r="AI53" s="348">
        <f t="shared" si="38"/>
        <v>1255960.25</v>
      </c>
      <c r="AJ53" s="116">
        <f t="shared" si="60"/>
        <v>69652.63</v>
      </c>
      <c r="AK53" s="345">
        <f t="shared" si="61"/>
        <v>1186307.6200000001</v>
      </c>
      <c r="AL53" s="345">
        <f t="shared" si="39"/>
        <v>76775.150000000009</v>
      </c>
      <c r="AM53" s="345">
        <f t="shared" si="40"/>
        <v>1263082.77</v>
      </c>
      <c r="AN53" s="349">
        <f t="shared" si="41"/>
        <v>0.93921605786768836</v>
      </c>
      <c r="AO53" s="173">
        <f>'2020 RAW DATA'!N22</f>
        <v>1811915</v>
      </c>
      <c r="AP53" s="172">
        <f>'2020 RAW DATA'!M22</f>
        <v>135223</v>
      </c>
      <c r="AQ53" s="172">
        <f t="shared" si="62"/>
        <v>1947138</v>
      </c>
      <c r="AR53" s="167">
        <f t="shared" si="63"/>
        <v>0.93055294488628948</v>
      </c>
      <c r="AS53" s="257">
        <f t="shared" si="64"/>
        <v>1198170.6962000001</v>
      </c>
      <c r="AT53" s="256">
        <f t="shared" si="65"/>
        <v>70349.156300000002</v>
      </c>
      <c r="AU53" s="354">
        <f t="shared" si="66"/>
        <v>1197786.82045</v>
      </c>
      <c r="AV53" s="257">
        <f t="shared" si="67"/>
        <v>77926.777249999999</v>
      </c>
      <c r="AW53" s="354">
        <f t="shared" si="42"/>
        <v>1275713.5977</v>
      </c>
      <c r="AX53" s="261">
        <f t="shared" si="95"/>
        <v>0.93891514726307279</v>
      </c>
      <c r="AY53" s="173">
        <f>'2021 RAW Data'!N22</f>
        <v>1874845</v>
      </c>
      <c r="AZ53" s="172">
        <f>'2021 RAW Data'!M22</f>
        <v>22670</v>
      </c>
      <c r="BA53" s="172">
        <f t="shared" si="97"/>
        <v>1897515</v>
      </c>
      <c r="BB53" s="167">
        <f t="shared" si="68"/>
        <v>0.98805279536657153</v>
      </c>
      <c r="BC53" s="257">
        <f t="shared" si="69"/>
        <v>1209764.6886545001</v>
      </c>
      <c r="BD53" s="256">
        <f t="shared" si="70"/>
        <v>71052.647862999991</v>
      </c>
      <c r="BE53" s="354">
        <f t="shared" si="71"/>
        <v>1209375.0547682499</v>
      </c>
      <c r="BF53" s="257">
        <f t="shared" si="72"/>
        <v>79095.678908749993</v>
      </c>
      <c r="BG53" s="257">
        <f t="shared" si="43"/>
        <v>1288470.7336769998</v>
      </c>
      <c r="BH53" s="261">
        <f t="shared" si="73"/>
        <v>0.93861274700199904</v>
      </c>
      <c r="BI53" s="260">
        <f t="shared" si="74"/>
        <v>1221468.8053159323</v>
      </c>
      <c r="BJ53" s="256">
        <f>+AG53*((100%+AH53)^4)</f>
        <v>71763.174341630001</v>
      </c>
      <c r="BK53" s="257">
        <f t="shared" ref="BK53:BK58" si="112">+BM53-BL53</f>
        <v>1221073.3269213887</v>
      </c>
      <c r="BL53" s="257">
        <f>BF53*((100%+(AH53*1.5)))</f>
        <v>80282.114092381235</v>
      </c>
      <c r="BM53" s="257">
        <f>AB53*(100%+AH53)^4</f>
        <v>1301355.4410137699</v>
      </c>
      <c r="BN53" s="261">
        <f>BK53/BM53</f>
        <v>0.93830884970992967</v>
      </c>
      <c r="BO53" s="260">
        <f>BK53*(100%+AH53)</f>
        <v>1233284.0601906027</v>
      </c>
      <c r="BP53" s="256">
        <f>+AG53*((100%+AH53)^5)</f>
        <v>72480.806085046293</v>
      </c>
      <c r="BQ53" s="257">
        <f t="shared" ref="BQ53:BQ58" si="113">+BS53-BR53</f>
        <v>1232882.6496201407</v>
      </c>
      <c r="BR53" s="257">
        <f>BL53*((100%+(AH53*1.5)))</f>
        <v>81486.345803766948</v>
      </c>
      <c r="BS53" s="257">
        <f>AB53*(100%+AH53)^5</f>
        <v>1314368.9954239076</v>
      </c>
      <c r="BT53" s="261">
        <f>BQ53/BS53</f>
        <v>0.93800344797582036</v>
      </c>
      <c r="BU53" s="260">
        <f t="shared" si="98"/>
        <v>1245211.476116342</v>
      </c>
      <c r="BV53" s="256">
        <f t="shared" si="99"/>
        <v>73205.614145896776</v>
      </c>
      <c r="BW53" s="257">
        <f t="shared" si="100"/>
        <v>1244804.0443873235</v>
      </c>
      <c r="BX53" s="257">
        <f t="shared" si="101"/>
        <v>82708.640990823449</v>
      </c>
      <c r="BY53" s="257">
        <f t="shared" si="102"/>
        <v>1327512.6853781471</v>
      </c>
      <c r="BZ53" s="261">
        <f t="shared" si="103"/>
        <v>0.93769653435193834</v>
      </c>
      <c r="CA53" s="260">
        <f t="shared" si="104"/>
        <v>1257252.0848311968</v>
      </c>
      <c r="CB53" s="256">
        <f t="shared" si="105"/>
        <v>73937.670287355722</v>
      </c>
      <c r="CC53" s="257">
        <f t="shared" si="106"/>
        <v>1256838.5416262422</v>
      </c>
      <c r="CD53" s="257">
        <f t="shared" si="107"/>
        <v>83949.270605685786</v>
      </c>
      <c r="CE53" s="257">
        <f t="shared" si="108"/>
        <v>1340787.8122319281</v>
      </c>
      <c r="CF53" s="261">
        <f t="shared" si="109"/>
        <v>0.93738810135368056</v>
      </c>
    </row>
    <row r="54" spans="1:84" x14ac:dyDescent="0.35">
      <c r="A54" s="56" t="s">
        <v>89</v>
      </c>
      <c r="B54" s="309">
        <f>'2014 RAW DATA'!N23</f>
        <v>11653344.610958904</v>
      </c>
      <c r="C54" s="341">
        <f>'2014 RAW DATA'!M23</f>
        <v>12984821.983561644</v>
      </c>
      <c r="D54" s="310">
        <f t="shared" si="46"/>
        <v>24638166.594520546</v>
      </c>
      <c r="E54" s="167">
        <f t="shared" si="47"/>
        <v>0.47297937394215739</v>
      </c>
      <c r="F54" s="173">
        <f>'2015 RAW DATA'!N23</f>
        <v>12504828.20511</v>
      </c>
      <c r="G54" s="293">
        <f>'2015 RAW DATA'!M23</f>
        <v>13896055.135637984</v>
      </c>
      <c r="H54" s="172">
        <f t="shared" si="48"/>
        <v>26400883.340747982</v>
      </c>
      <c r="I54" s="167">
        <f t="shared" si="49"/>
        <v>0.4736518867082618</v>
      </c>
      <c r="J54" s="173">
        <f>'2016 RAW DATA'!N23</f>
        <v>12928461.222545993</v>
      </c>
      <c r="K54" s="293">
        <f>'2016 RAW DATA'!M23</f>
        <v>16638407.191637969</v>
      </c>
      <c r="L54" s="172">
        <f t="shared" si="50"/>
        <v>29566868.414183959</v>
      </c>
      <c r="M54" s="167">
        <f t="shared" si="51"/>
        <v>0.43726177021655394</v>
      </c>
      <c r="N54" s="173">
        <f>+'2017 RAW DATA'!N23</f>
        <v>18977307</v>
      </c>
      <c r="O54" s="293">
        <f>+'2017 RAW DATA'!M23</f>
        <v>6410510</v>
      </c>
      <c r="P54" s="172">
        <f t="shared" si="52"/>
        <v>25387817</v>
      </c>
      <c r="Q54" s="167">
        <f t="shared" si="53"/>
        <v>0.74749660437524035</v>
      </c>
      <c r="R54" s="165">
        <f>'2017 NEW RAW DATA '!N23</f>
        <v>18526227</v>
      </c>
      <c r="S54" s="165">
        <f>'2017 NEW RAW DATA '!M23</f>
        <v>5828616</v>
      </c>
      <c r="T54" s="165">
        <f t="shared" si="54"/>
        <v>24354843</v>
      </c>
      <c r="U54" s="167">
        <f t="shared" si="55"/>
        <v>0.76067938520482359</v>
      </c>
      <c r="V54" s="165">
        <f>'2018 RAW DATA'!N23</f>
        <v>19219446</v>
      </c>
      <c r="W54" s="165">
        <f>'2018 RAW DATA'!M23</f>
        <v>6286953</v>
      </c>
      <c r="X54" s="165">
        <f t="shared" si="56"/>
        <v>25506399</v>
      </c>
      <c r="Y54" s="167">
        <f t="shared" si="57"/>
        <v>0.75351467684638662</v>
      </c>
      <c r="Z54" s="165">
        <f>'2019 RAW DATA'!N23</f>
        <v>19878397</v>
      </c>
      <c r="AA54" s="165">
        <f>'2019 RAW DATA'!M23</f>
        <v>6266510</v>
      </c>
      <c r="AB54" s="165">
        <f t="shared" si="58"/>
        <v>26144907</v>
      </c>
      <c r="AC54" s="239">
        <f t="shared" si="59"/>
        <v>0.76031622525947407</v>
      </c>
      <c r="AD54" s="239"/>
      <c r="AE54" s="239"/>
      <c r="AF54" s="239"/>
      <c r="AG54" s="464">
        <v>2880290</v>
      </c>
      <c r="AH54" s="339">
        <v>0.02</v>
      </c>
      <c r="AI54" s="348">
        <f t="shared" si="38"/>
        <v>20275964.940000001</v>
      </c>
      <c r="AJ54" s="116">
        <f t="shared" si="60"/>
        <v>2937895.8000000003</v>
      </c>
      <c r="AK54" s="345">
        <f t="shared" si="61"/>
        <v>17338069.140000001</v>
      </c>
      <c r="AL54" s="345">
        <f t="shared" si="39"/>
        <v>9329736</v>
      </c>
      <c r="AM54" s="345">
        <f t="shared" si="40"/>
        <v>26667805.140000001</v>
      </c>
      <c r="AN54" s="349">
        <f t="shared" si="41"/>
        <v>0.6501498360655863</v>
      </c>
      <c r="AO54" s="173">
        <f>'2020 RAW DATA'!N23</f>
        <v>26314506</v>
      </c>
      <c r="AP54" s="172">
        <f>'2020 RAW DATA'!M23</f>
        <v>4850237</v>
      </c>
      <c r="AQ54" s="172">
        <f t="shared" si="62"/>
        <v>31164743</v>
      </c>
      <c r="AR54" s="167">
        <f t="shared" si="63"/>
        <v>0.84436781654191728</v>
      </c>
      <c r="AS54" s="257">
        <f t="shared" si="64"/>
        <v>17684830.522800002</v>
      </c>
      <c r="AT54" s="256">
        <f t="shared" si="65"/>
        <v>2996653.716</v>
      </c>
      <c r="AU54" s="354">
        <f t="shared" si="66"/>
        <v>17591533.162799999</v>
      </c>
      <c r="AV54" s="257">
        <f t="shared" si="67"/>
        <v>9609628.0800000001</v>
      </c>
      <c r="AW54" s="354">
        <f t="shared" si="42"/>
        <v>27201161.242800001</v>
      </c>
      <c r="AX54" s="261">
        <f t="shared" si="95"/>
        <v>0.64671993249760185</v>
      </c>
      <c r="AY54" s="173">
        <f>'2021 RAW Data'!N23</f>
        <v>25577671</v>
      </c>
      <c r="AZ54" s="172">
        <f>'2021 RAW Data'!M23</f>
        <v>6430527</v>
      </c>
      <c r="BA54" s="172">
        <f t="shared" si="97"/>
        <v>32008198</v>
      </c>
      <c r="BB54" s="167">
        <f t="shared" si="68"/>
        <v>0.79909749995922918</v>
      </c>
      <c r="BC54" s="257">
        <f t="shared" si="69"/>
        <v>17943363.826056</v>
      </c>
      <c r="BD54" s="256">
        <f t="shared" si="70"/>
        <v>3056586.7903199997</v>
      </c>
      <c r="BE54" s="354">
        <f t="shared" si="71"/>
        <v>17847267.545255996</v>
      </c>
      <c r="BF54" s="257">
        <f t="shared" si="72"/>
        <v>9897916.9223999996</v>
      </c>
      <c r="BG54" s="257">
        <f t="shared" si="43"/>
        <v>27745184.467655998</v>
      </c>
      <c r="BH54" s="261">
        <f t="shared" si="73"/>
        <v>0.64325640242404891</v>
      </c>
      <c r="BI54" s="260">
        <f t="shared" si="74"/>
        <v>18204212.896161117</v>
      </c>
      <c r="BJ54" s="256">
        <f t="shared" si="75"/>
        <v>3117718.5261264001</v>
      </c>
      <c r="BK54" s="257">
        <f t="shared" si="112"/>
        <v>18105233.726937123</v>
      </c>
      <c r="BL54" s="257">
        <f t="shared" si="76"/>
        <v>10194854.430072</v>
      </c>
      <c r="BM54" s="257">
        <f t="shared" si="96"/>
        <v>28300088.157009121</v>
      </c>
      <c r="BN54" s="261">
        <f t="shared" si="77"/>
        <v>0.63975891617330438</v>
      </c>
      <c r="BO54" s="260">
        <f t="shared" si="78"/>
        <v>18467338.401475865</v>
      </c>
      <c r="BP54" s="256">
        <f t="shared" si="79"/>
        <v>3180072.8966489281</v>
      </c>
      <c r="BQ54" s="257">
        <f t="shared" si="113"/>
        <v>18365389.857175142</v>
      </c>
      <c r="BR54" s="257">
        <f t="shared" si="80"/>
        <v>10500700.062974161</v>
      </c>
      <c r="BS54" s="257">
        <f t="shared" si="81"/>
        <v>28866089.920149304</v>
      </c>
      <c r="BT54" s="261">
        <f t="shared" si="82"/>
        <v>0.63622714084166998</v>
      </c>
      <c r="BU54" s="260">
        <f t="shared" ref="BU54:BU59" si="114">BQ54*(100%+AH54)</f>
        <v>18732697.654318646</v>
      </c>
      <c r="BV54" s="256">
        <f t="shared" ref="BV54:BV59" si="115">+AG54*((100%+AH54)^6)</f>
        <v>3243674.3545819069</v>
      </c>
      <c r="BW54" s="257">
        <f t="shared" ref="BW54:BW59" si="116">+BY54-BX54</f>
        <v>18627690.653688908</v>
      </c>
      <c r="BX54" s="257">
        <f t="shared" ref="BX54:BX59" si="117">BR54*((100%+(AH54*1.5)))</f>
        <v>10815721.064863386</v>
      </c>
      <c r="BY54" s="257">
        <f t="shared" ref="BY54:BY59" si="118">AB54*(100%+AH54)^6</f>
        <v>29443411.718552291</v>
      </c>
      <c r="BZ54" s="261">
        <f t="shared" ref="BZ54:BZ59" si="119">BW54/BY54</f>
        <v>0.63266074026168651</v>
      </c>
      <c r="CA54" s="260">
        <f t="shared" si="104"/>
        <v>19000244.466762684</v>
      </c>
      <c r="CB54" s="256">
        <f t="shared" si="105"/>
        <v>3308547.8416735441</v>
      </c>
      <c r="CC54" s="257">
        <f t="shared" si="106"/>
        <v>18892087.25611404</v>
      </c>
      <c r="CD54" s="257">
        <f t="shared" si="107"/>
        <v>11140192.696809288</v>
      </c>
      <c r="CE54" s="257">
        <f t="shared" si="108"/>
        <v>30032279.952923328</v>
      </c>
      <c r="CF54" s="261">
        <f t="shared" si="109"/>
        <v>0.6290593749701342</v>
      </c>
    </row>
    <row r="55" spans="1:84" x14ac:dyDescent="0.35">
      <c r="A55" s="59" t="s">
        <v>90</v>
      </c>
      <c r="B55" s="309">
        <f>'2014 RAW DATA'!N24</f>
        <v>3022969.8904109588</v>
      </c>
      <c r="C55" s="341">
        <f>'2014 RAW DATA'!M24</f>
        <v>81356.719424657538</v>
      </c>
      <c r="D55" s="310">
        <f t="shared" si="46"/>
        <v>3104326.6098356163</v>
      </c>
      <c r="E55" s="167">
        <f t="shared" si="47"/>
        <v>0.97379247429478255</v>
      </c>
      <c r="F55" s="173">
        <f>'2015 RAW DATA'!N24</f>
        <v>3260463.7905780007</v>
      </c>
      <c r="G55" s="293">
        <f>'2015 RAW DATA'!M24</f>
        <v>104989.25587199998</v>
      </c>
      <c r="H55" s="172">
        <f t="shared" si="48"/>
        <v>3365453.0464500007</v>
      </c>
      <c r="I55" s="167">
        <f t="shared" si="49"/>
        <v>0.96880382687770772</v>
      </c>
      <c r="J55" s="173">
        <f>'2016 RAW DATA'!N24</f>
        <v>3573431.2482780027</v>
      </c>
      <c r="K55" s="293">
        <f>'2016 RAW DATA'!M24</f>
        <v>144108.79386599993</v>
      </c>
      <c r="L55" s="172">
        <f t="shared" si="50"/>
        <v>3717540.0421440029</v>
      </c>
      <c r="M55" s="167">
        <f t="shared" si="51"/>
        <v>0.96123544273032524</v>
      </c>
      <c r="N55" s="173">
        <f>+'2017 RAW DATA'!N24</f>
        <v>3279190</v>
      </c>
      <c r="O55" s="293">
        <f>+'2017 RAW DATA'!M24</f>
        <v>3139</v>
      </c>
      <c r="P55" s="172">
        <f t="shared" si="52"/>
        <v>3282329</v>
      </c>
      <c r="Q55" s="167">
        <f t="shared" si="53"/>
        <v>0.99904366685972068</v>
      </c>
      <c r="R55" s="165">
        <f>'2017 NEW RAW DATA '!N24</f>
        <v>3107864</v>
      </c>
      <c r="S55" s="165">
        <f>'2017 NEW RAW DATA '!M24</f>
        <v>4158</v>
      </c>
      <c r="T55" s="165">
        <f t="shared" si="54"/>
        <v>3112022</v>
      </c>
      <c r="U55" s="167">
        <f t="shared" si="55"/>
        <v>0.99866389119357124</v>
      </c>
      <c r="V55" s="165">
        <f>'2018 RAW DATA'!N24</f>
        <v>3503419</v>
      </c>
      <c r="W55" s="165">
        <f>'2018 RAW DATA'!M24</f>
        <v>27637</v>
      </c>
      <c r="X55" s="165">
        <f t="shared" si="56"/>
        <v>3531056</v>
      </c>
      <c r="Y55" s="167">
        <f t="shared" si="57"/>
        <v>0.99217316292916335</v>
      </c>
      <c r="Z55" s="165">
        <f>'2019 RAW DATA'!N24</f>
        <v>2911542</v>
      </c>
      <c r="AA55" s="165">
        <f>'2019 RAW DATA'!M24</f>
        <v>13142</v>
      </c>
      <c r="AB55" s="165">
        <f t="shared" si="58"/>
        <v>2924684</v>
      </c>
      <c r="AC55" s="239">
        <f t="shared" si="59"/>
        <v>0.99550652309788001</v>
      </c>
      <c r="AD55" s="239"/>
      <c r="AE55" s="239"/>
      <c r="AF55" s="239"/>
      <c r="AG55" s="464">
        <v>9251</v>
      </c>
      <c r="AH55" s="339">
        <v>0.02</v>
      </c>
      <c r="AI55" s="348">
        <f t="shared" si="38"/>
        <v>2969772.84</v>
      </c>
      <c r="AJ55" s="116">
        <f t="shared" si="60"/>
        <v>9436.02</v>
      </c>
      <c r="AK55" s="345">
        <f t="shared" si="61"/>
        <v>2960336.82</v>
      </c>
      <c r="AL55" s="345">
        <f t="shared" si="39"/>
        <v>22840.86</v>
      </c>
      <c r="AM55" s="345">
        <f t="shared" si="40"/>
        <v>2983177.68</v>
      </c>
      <c r="AN55" s="349">
        <f t="shared" si="41"/>
        <v>0.99234344633471505</v>
      </c>
      <c r="AO55" s="173">
        <f>'2020 RAW DATA'!N24</f>
        <v>5895820</v>
      </c>
      <c r="AP55" s="172">
        <f>'2020 RAW DATA'!M24</f>
        <v>38797</v>
      </c>
      <c r="AQ55" s="172">
        <f t="shared" si="62"/>
        <v>5934617</v>
      </c>
      <c r="AR55" s="167">
        <f t="shared" si="63"/>
        <v>0.99346259413202231</v>
      </c>
      <c r="AS55" s="257">
        <f t="shared" si="64"/>
        <v>3019543.5563999997</v>
      </c>
      <c r="AT55" s="256">
        <f t="shared" si="65"/>
        <v>9624.7404000000006</v>
      </c>
      <c r="AU55" s="354">
        <f t="shared" si="66"/>
        <v>3019315.1477999999</v>
      </c>
      <c r="AV55" s="257">
        <f t="shared" si="67"/>
        <v>23526.085800000001</v>
      </c>
      <c r="AW55" s="354">
        <f t="shared" si="42"/>
        <v>3042841.2335999999</v>
      </c>
      <c r="AX55" s="261">
        <f t="shared" si="95"/>
        <v>0.99226838208309465</v>
      </c>
      <c r="AY55" s="173">
        <f>'2021 RAW Data'!N24</f>
        <v>6669066</v>
      </c>
      <c r="AZ55" s="172">
        <f>'2021 RAW Data'!M24</f>
        <v>12235</v>
      </c>
      <c r="BA55" s="172">
        <f t="shared" si="97"/>
        <v>6681301</v>
      </c>
      <c r="BB55" s="167">
        <f t="shared" si="68"/>
        <v>0.99816876982491887</v>
      </c>
      <c r="BC55" s="257">
        <f t="shared" si="69"/>
        <v>3079701.4507559999</v>
      </c>
      <c r="BD55" s="256">
        <f t="shared" si="70"/>
        <v>9817.2352080000001</v>
      </c>
      <c r="BE55" s="354">
        <f t="shared" si="71"/>
        <v>3079466.1898980001</v>
      </c>
      <c r="BF55" s="257">
        <f t="shared" si="72"/>
        <v>24231.868374000001</v>
      </c>
      <c r="BG55" s="257">
        <f t="shared" si="43"/>
        <v>3103698.0582719999</v>
      </c>
      <c r="BH55" s="261">
        <f t="shared" si="73"/>
        <v>0.99219258190743886</v>
      </c>
      <c r="BI55" s="260">
        <f>BE55*(100%+AH55)</f>
        <v>3141055.5136959599</v>
      </c>
      <c r="BJ55" s="256">
        <f>+AG55*((100%+AH55)^4)</f>
        <v>10013.579912159999</v>
      </c>
      <c r="BK55" s="257">
        <f t="shared" si="112"/>
        <v>3140813.1950122197</v>
      </c>
      <c r="BL55" s="257">
        <f>BF55*((100%+(AH55*1.5)))</f>
        <v>24958.824425220002</v>
      </c>
      <c r="BM55" s="257">
        <f>AB55*(100%+AH55)^4</f>
        <v>3165772.0194374397</v>
      </c>
      <c r="BN55" s="261">
        <f>BK55/BM55</f>
        <v>0.99211603859280584</v>
      </c>
      <c r="BO55" s="260">
        <f>BK55*(100%+AH55)</f>
        <v>3203629.4589124643</v>
      </c>
      <c r="BP55" s="256">
        <f>+AG55*((100%+AH55)^5)</f>
        <v>10213.851510403199</v>
      </c>
      <c r="BQ55" s="257">
        <f t="shared" si="113"/>
        <v>3203379.870668212</v>
      </c>
      <c r="BR55" s="257">
        <f>BL55*((100%+(AH55*1.5)))</f>
        <v>25707.589157976603</v>
      </c>
      <c r="BS55" s="257">
        <f>AB55*(100%+AH55)^5</f>
        <v>3229087.4598261886</v>
      </c>
      <c r="BT55" s="261">
        <f>BQ55/BS55</f>
        <v>0.99203874485351962</v>
      </c>
      <c r="BU55" s="260">
        <f t="shared" si="114"/>
        <v>3267447.4680815763</v>
      </c>
      <c r="BV55" s="256">
        <f t="shared" si="115"/>
        <v>10418.128540611264</v>
      </c>
      <c r="BW55" s="257">
        <f t="shared" si="116"/>
        <v>3267190.3921899968</v>
      </c>
      <c r="BX55" s="257">
        <f t="shared" si="117"/>
        <v>26478.8168327159</v>
      </c>
      <c r="BY55" s="257">
        <f t="shared" si="118"/>
        <v>3293669.2090227129</v>
      </c>
      <c r="BZ55" s="261">
        <f t="shared" si="119"/>
        <v>0.99196069333247561</v>
      </c>
      <c r="CA55" s="260">
        <f t="shared" si="104"/>
        <v>3332534.200033797</v>
      </c>
      <c r="CB55" s="256">
        <f t="shared" si="105"/>
        <v>10626.491111423487</v>
      </c>
      <c r="CC55" s="257">
        <f t="shared" si="106"/>
        <v>3332269.4118654691</v>
      </c>
      <c r="CD55" s="257">
        <f t="shared" si="107"/>
        <v>27273.181337697377</v>
      </c>
      <c r="CE55" s="257">
        <f t="shared" si="108"/>
        <v>3359542.5932031665</v>
      </c>
      <c r="CF55" s="261">
        <f t="shared" si="109"/>
        <v>0.99188187660044114</v>
      </c>
    </row>
    <row r="56" spans="1:84" x14ac:dyDescent="0.35">
      <c r="A56" s="56" t="s">
        <v>91</v>
      </c>
      <c r="B56" s="309">
        <f>'2014 RAW DATA'!N25</f>
        <v>1032234.9936986301</v>
      </c>
      <c r="C56" s="341">
        <f>'2014 RAW DATA'!M25</f>
        <v>358452.07369863015</v>
      </c>
      <c r="D56" s="310">
        <f t="shared" si="46"/>
        <v>1390687.0673972603</v>
      </c>
      <c r="E56" s="167">
        <f t="shared" si="47"/>
        <v>0.74224821521531004</v>
      </c>
      <c r="F56" s="173">
        <f>'2015 RAW DATA'!N25</f>
        <v>1053557.2136099997</v>
      </c>
      <c r="G56" s="293">
        <f>'2015 RAW DATA'!M25</f>
        <v>384482.87579999992</v>
      </c>
      <c r="H56" s="172">
        <f t="shared" si="48"/>
        <v>1438040.0894099995</v>
      </c>
      <c r="I56" s="167">
        <f t="shared" si="49"/>
        <v>0.73263410482683711</v>
      </c>
      <c r="J56" s="173">
        <f>'2016 RAW DATA'!N25</f>
        <v>1365161.4185460005</v>
      </c>
      <c r="K56" s="293">
        <f>'2016 RAW DATA'!M25</f>
        <v>400668.23260799987</v>
      </c>
      <c r="L56" s="172">
        <f t="shared" si="50"/>
        <v>1765829.6511540003</v>
      </c>
      <c r="M56" s="167">
        <f t="shared" si="51"/>
        <v>0.77309915917078631</v>
      </c>
      <c r="N56" s="173">
        <f>+'2017 RAW DATA'!N25</f>
        <v>452505</v>
      </c>
      <c r="O56" s="293">
        <f>+'2017 RAW DATA'!M25</f>
        <v>16054</v>
      </c>
      <c r="P56" s="172">
        <f t="shared" si="52"/>
        <v>468559</v>
      </c>
      <c r="Q56" s="167">
        <f t="shared" si="53"/>
        <v>0.96573750584238061</v>
      </c>
      <c r="R56" s="165">
        <f>'2017 NEW RAW DATA '!N25</f>
        <v>431275</v>
      </c>
      <c r="S56" s="165">
        <f>'2017 NEW RAW DATA '!M25</f>
        <v>14772</v>
      </c>
      <c r="T56" s="165">
        <f t="shared" si="54"/>
        <v>446047</v>
      </c>
      <c r="U56" s="167">
        <f t="shared" si="55"/>
        <v>0.96688241373666906</v>
      </c>
      <c r="V56" s="165">
        <f>'2018 RAW DATA'!N25</f>
        <v>470874</v>
      </c>
      <c r="W56" s="165">
        <f>'2018 RAW DATA'!M25</f>
        <v>11187</v>
      </c>
      <c r="X56" s="165">
        <f t="shared" si="56"/>
        <v>482061</v>
      </c>
      <c r="Y56" s="167">
        <f t="shared" si="57"/>
        <v>0.97679339336722948</v>
      </c>
      <c r="Z56" s="165">
        <f>'2019 RAW DATA'!N25</f>
        <v>750018</v>
      </c>
      <c r="AA56" s="165">
        <f>'2019 RAW DATA'!M25</f>
        <v>96308</v>
      </c>
      <c r="AB56" s="165">
        <f t="shared" si="58"/>
        <v>846326</v>
      </c>
      <c r="AC56" s="239">
        <f t="shared" si="59"/>
        <v>0.88620460673546597</v>
      </c>
      <c r="AD56" s="239"/>
      <c r="AE56" s="239"/>
      <c r="AF56" s="239"/>
      <c r="AG56" s="464">
        <v>109591</v>
      </c>
      <c r="AH56" s="339">
        <v>0.01</v>
      </c>
      <c r="AI56" s="348">
        <f t="shared" si="38"/>
        <v>757518.18</v>
      </c>
      <c r="AJ56" s="116">
        <f t="shared" si="60"/>
        <v>110686.91</v>
      </c>
      <c r="AK56" s="345">
        <f t="shared" si="61"/>
        <v>646831.27</v>
      </c>
      <c r="AL56" s="345">
        <f t="shared" si="39"/>
        <v>207957.99</v>
      </c>
      <c r="AM56" s="345">
        <f t="shared" si="40"/>
        <v>854789.26</v>
      </c>
      <c r="AN56" s="349">
        <f t="shared" si="41"/>
        <v>0.75671431576012083</v>
      </c>
      <c r="AO56" s="173">
        <f>'2020 RAW DATA'!N25</f>
        <v>1540457</v>
      </c>
      <c r="AP56" s="172">
        <f>'2020 RAW DATA'!M25</f>
        <v>112854</v>
      </c>
      <c r="AQ56" s="172">
        <f t="shared" si="62"/>
        <v>1653311</v>
      </c>
      <c r="AR56" s="167">
        <f t="shared" si="63"/>
        <v>0.93174061020582333</v>
      </c>
      <c r="AS56" s="257">
        <f t="shared" si="64"/>
        <v>653299.58270000003</v>
      </c>
      <c r="AT56" s="256">
        <f t="shared" si="65"/>
        <v>111793.7791</v>
      </c>
      <c r="AU56" s="354">
        <f t="shared" si="66"/>
        <v>652259.79275000002</v>
      </c>
      <c r="AV56" s="257">
        <f t="shared" si="67"/>
        <v>211077.35984999998</v>
      </c>
      <c r="AW56" s="354">
        <f t="shared" si="42"/>
        <v>863337.15260000003</v>
      </c>
      <c r="AX56" s="261">
        <f t="shared" si="95"/>
        <v>0.75550993118467591</v>
      </c>
      <c r="AY56" s="173">
        <f>'2021 RAW Data'!N25</f>
        <v>1389392</v>
      </c>
      <c r="AZ56" s="172">
        <f>'2021 RAW Data'!M25</f>
        <v>226158</v>
      </c>
      <c r="BA56" s="172">
        <f t="shared" si="97"/>
        <v>1615550</v>
      </c>
      <c r="BB56" s="167">
        <f t="shared" si="68"/>
        <v>0.86001176070069019</v>
      </c>
      <c r="BC56" s="257">
        <f t="shared" si="69"/>
        <v>658782.39067750005</v>
      </c>
      <c r="BD56" s="256">
        <f t="shared" si="70"/>
        <v>112911.71689099999</v>
      </c>
      <c r="BE56" s="354">
        <f t="shared" si="71"/>
        <v>657727.0038782499</v>
      </c>
      <c r="BF56" s="257">
        <f t="shared" si="72"/>
        <v>214243.52024774996</v>
      </c>
      <c r="BG56" s="257">
        <f t="shared" si="43"/>
        <v>871970.52412599989</v>
      </c>
      <c r="BH56" s="261">
        <f t="shared" si="73"/>
        <v>0.75429958430935251</v>
      </c>
      <c r="BI56" s="260">
        <f>BE56*(100%+AH56)</f>
        <v>664304.27391703241</v>
      </c>
      <c r="BJ56" s="256">
        <f t="shared" si="75"/>
        <v>114040.83405991</v>
      </c>
      <c r="BK56" s="257">
        <f t="shared" si="112"/>
        <v>663233.05631579389</v>
      </c>
      <c r="BL56" s="257">
        <f t="shared" si="76"/>
        <v>217457.17305146618</v>
      </c>
      <c r="BM56" s="257">
        <f t="shared" si="96"/>
        <v>880690.22936726001</v>
      </c>
      <c r="BN56" s="261">
        <f t="shared" si="77"/>
        <v>0.75308324561781481</v>
      </c>
      <c r="BO56" s="260">
        <f t="shared" si="78"/>
        <v>669865.3868789518</v>
      </c>
      <c r="BP56" s="256">
        <f t="shared" si="79"/>
        <v>115181.24240050909</v>
      </c>
      <c r="BQ56" s="257">
        <f t="shared" si="113"/>
        <v>668778.10101369442</v>
      </c>
      <c r="BR56" s="257">
        <f t="shared" si="80"/>
        <v>220719.03064723813</v>
      </c>
      <c r="BS56" s="257">
        <f t="shared" si="81"/>
        <v>889497.13166093256</v>
      </c>
      <c r="BT56" s="261">
        <f t="shared" si="82"/>
        <v>0.75186088544760588</v>
      </c>
      <c r="BU56" s="260">
        <f t="shared" si="114"/>
        <v>675465.88202383136</v>
      </c>
      <c r="BV56" s="256">
        <f t="shared" si="115"/>
        <v>116333.05482451421</v>
      </c>
      <c r="BW56" s="257">
        <f t="shared" si="116"/>
        <v>674362.28687059542</v>
      </c>
      <c r="BX56" s="257">
        <f t="shared" si="117"/>
        <v>224029.81610694667</v>
      </c>
      <c r="BY56" s="257">
        <f t="shared" si="118"/>
        <v>898392.10297754209</v>
      </c>
      <c r="BZ56" s="261">
        <f t="shared" si="119"/>
        <v>0.75063247398942579</v>
      </c>
      <c r="CA56" s="260">
        <f t="shared" si="104"/>
        <v>681105.90973930142</v>
      </c>
      <c r="CB56" s="256">
        <f t="shared" si="105"/>
        <v>117496.38537275931</v>
      </c>
      <c r="CC56" s="257">
        <f t="shared" si="106"/>
        <v>679985.76065876626</v>
      </c>
      <c r="CD56" s="257">
        <f t="shared" si="107"/>
        <v>227390.26334855086</v>
      </c>
      <c r="CE56" s="257">
        <f t="shared" si="108"/>
        <v>907376.02400731714</v>
      </c>
      <c r="CF56" s="261">
        <f t="shared" si="109"/>
        <v>0.749397981286403</v>
      </c>
    </row>
    <row r="57" spans="1:84" x14ac:dyDescent="0.35">
      <c r="A57" s="56" t="s">
        <v>92</v>
      </c>
      <c r="B57" s="309">
        <f>'2014 RAW DATA'!N26</f>
        <v>3435015.2739726026</v>
      </c>
      <c r="C57" s="341">
        <f>'2014 RAW DATA'!M26</f>
        <v>1648197.9463013697</v>
      </c>
      <c r="D57" s="310">
        <f t="shared" si="46"/>
        <v>5083213.2202739725</v>
      </c>
      <c r="E57" s="167">
        <f t="shared" si="47"/>
        <v>0.67575667695235175</v>
      </c>
      <c r="F57" s="173">
        <f>'2015 RAW DATA'!N26</f>
        <v>3308055.3750000005</v>
      </c>
      <c r="G57" s="293">
        <f>'2015 RAW DATA'!M26</f>
        <v>1866134.577858001</v>
      </c>
      <c r="H57" s="172">
        <f t="shared" si="48"/>
        <v>5174189.952858001</v>
      </c>
      <c r="I57" s="167">
        <f t="shared" si="49"/>
        <v>0.63933782971627706</v>
      </c>
      <c r="J57" s="173">
        <f>'2016 RAW DATA'!N26</f>
        <v>3837283.0590360016</v>
      </c>
      <c r="K57" s="293">
        <f>'2016 RAW DATA'!M26</f>
        <v>1883690.6772599993</v>
      </c>
      <c r="L57" s="172">
        <f t="shared" si="50"/>
        <v>5720973.7362960009</v>
      </c>
      <c r="M57" s="167">
        <f t="shared" si="51"/>
        <v>0.67073949923783782</v>
      </c>
      <c r="N57" s="173">
        <f>+'2017 RAW DATA'!N26</f>
        <v>3607711</v>
      </c>
      <c r="O57" s="293">
        <f>+'2017 RAW DATA'!M26</f>
        <v>149021</v>
      </c>
      <c r="P57" s="172">
        <f t="shared" si="52"/>
        <v>3756732</v>
      </c>
      <c r="Q57" s="167">
        <f t="shared" si="53"/>
        <v>0.96033227816091216</v>
      </c>
      <c r="R57" s="165">
        <f>'2017 NEW RAW DATA '!N26</f>
        <v>3465059</v>
      </c>
      <c r="S57" s="165">
        <f>'2017 NEW RAW DATA '!M26</f>
        <v>117379</v>
      </c>
      <c r="T57" s="165">
        <f t="shared" si="54"/>
        <v>3582438</v>
      </c>
      <c r="U57" s="167">
        <f t="shared" si="55"/>
        <v>0.96723488306008365</v>
      </c>
      <c r="V57" s="165">
        <f>'2018 RAW DATA'!N26</f>
        <v>3721017</v>
      </c>
      <c r="W57" s="165">
        <f>'2018 RAW DATA'!M26</f>
        <v>213721</v>
      </c>
      <c r="X57" s="165">
        <f t="shared" si="56"/>
        <v>3934738</v>
      </c>
      <c r="Y57" s="167">
        <f t="shared" si="57"/>
        <v>0.94568354995936199</v>
      </c>
      <c r="Z57" s="165">
        <f>'2019 RAW DATA'!N26</f>
        <v>4198361</v>
      </c>
      <c r="AA57" s="165">
        <f>'2019 RAW DATA'!M26</f>
        <v>216241</v>
      </c>
      <c r="AB57" s="165">
        <f t="shared" si="58"/>
        <v>4414602</v>
      </c>
      <c r="AC57" s="239">
        <f t="shared" si="59"/>
        <v>0.95101687536045154</v>
      </c>
      <c r="AD57" s="239"/>
      <c r="AE57" s="239"/>
      <c r="AF57" s="239"/>
      <c r="AG57" s="464">
        <v>333943</v>
      </c>
      <c r="AH57" s="339">
        <v>0.02</v>
      </c>
      <c r="AI57" s="348">
        <f t="shared" si="38"/>
        <v>4282328.22</v>
      </c>
      <c r="AJ57" s="116">
        <f t="shared" si="60"/>
        <v>340621.86</v>
      </c>
      <c r="AK57" s="345">
        <f t="shared" si="61"/>
        <v>3941706.36</v>
      </c>
      <c r="AL57" s="345">
        <f t="shared" si="39"/>
        <v>561187.67999999993</v>
      </c>
      <c r="AM57" s="345">
        <f t="shared" si="40"/>
        <v>4502894.04</v>
      </c>
      <c r="AN57" s="349">
        <f t="shared" si="41"/>
        <v>0.87537177756907636</v>
      </c>
      <c r="AO57" s="173">
        <f>'2020 RAW DATA'!N26</f>
        <v>6247990</v>
      </c>
      <c r="AP57" s="172">
        <f>'2020 RAW DATA'!M26</f>
        <v>311137</v>
      </c>
      <c r="AQ57" s="172">
        <f t="shared" si="62"/>
        <v>6559127</v>
      </c>
      <c r="AR57" s="167">
        <f t="shared" si="63"/>
        <v>0.95256426655559501</v>
      </c>
      <c r="AS57" s="257">
        <f t="shared" si="64"/>
        <v>4020540.4871999999</v>
      </c>
      <c r="AT57" s="256">
        <f t="shared" si="65"/>
        <v>347434.29719999997</v>
      </c>
      <c r="AU57" s="354">
        <f t="shared" si="66"/>
        <v>4014928.6103999997</v>
      </c>
      <c r="AV57" s="257">
        <f t="shared" si="67"/>
        <v>578023.31039999996</v>
      </c>
      <c r="AW57" s="354">
        <f t="shared" si="42"/>
        <v>4592951.9207999995</v>
      </c>
      <c r="AX57" s="261">
        <f t="shared" si="95"/>
        <v>0.87414993225112625</v>
      </c>
      <c r="AY57" s="173">
        <f>'2021 RAW Data'!N26</f>
        <v>6148808</v>
      </c>
      <c r="AZ57" s="172">
        <f>'2021 RAW Data'!M26</f>
        <v>274033</v>
      </c>
      <c r="BA57" s="172">
        <f t="shared" si="97"/>
        <v>6422841</v>
      </c>
      <c r="BB57" s="167">
        <f t="shared" si="68"/>
        <v>0.95733461251804308</v>
      </c>
      <c r="BC57" s="257">
        <f t="shared" si="69"/>
        <v>4095227.1826079995</v>
      </c>
      <c r="BD57" s="256">
        <f t="shared" si="70"/>
        <v>354382.983144</v>
      </c>
      <c r="BE57" s="354">
        <f t="shared" si="71"/>
        <v>4089446.9495039997</v>
      </c>
      <c r="BF57" s="257">
        <f t="shared" si="72"/>
        <v>595364.00971200003</v>
      </c>
      <c r="BG57" s="257">
        <f t="shared" si="43"/>
        <v>4684810.9592159996</v>
      </c>
      <c r="BH57" s="261">
        <f t="shared" si="73"/>
        <v>0.87291610805750985</v>
      </c>
      <c r="BI57" s="260">
        <f t="shared" si="74"/>
        <v>4171235.8884940799</v>
      </c>
      <c r="BJ57" s="256">
        <f t="shared" si="75"/>
        <v>361470.64280688</v>
      </c>
      <c r="BK57" s="257">
        <f t="shared" si="112"/>
        <v>4165282.2483969601</v>
      </c>
      <c r="BL57" s="257">
        <f t="shared" si="76"/>
        <v>613224.93000336003</v>
      </c>
      <c r="BM57" s="257">
        <f t="shared" si="96"/>
        <v>4778507.17840032</v>
      </c>
      <c r="BN57" s="261">
        <f t="shared" si="77"/>
        <v>0.87167018754826975</v>
      </c>
      <c r="BO57" s="260">
        <f t="shared" si="78"/>
        <v>4248587.8933648998</v>
      </c>
      <c r="BP57" s="256">
        <f t="shared" si="79"/>
        <v>368700.05566301761</v>
      </c>
      <c r="BQ57" s="257">
        <f t="shared" si="113"/>
        <v>4242455.644064866</v>
      </c>
      <c r="BR57" s="257">
        <f t="shared" si="80"/>
        <v>631621.6779034608</v>
      </c>
      <c r="BS57" s="257">
        <f t="shared" si="81"/>
        <v>4874077.3219683263</v>
      </c>
      <c r="BT57" s="261">
        <f t="shared" si="82"/>
        <v>0.8704120521320764</v>
      </c>
      <c r="BU57" s="260">
        <f t="shared" si="114"/>
        <v>4327304.7569461633</v>
      </c>
      <c r="BV57" s="256">
        <f t="shared" si="115"/>
        <v>376074.05677627795</v>
      </c>
      <c r="BW57" s="257">
        <f t="shared" si="116"/>
        <v>4320988.5401671287</v>
      </c>
      <c r="BX57" s="257">
        <f t="shared" si="117"/>
        <v>650570.32824056468</v>
      </c>
      <c r="BY57" s="257">
        <f t="shared" si="118"/>
        <v>4971558.8684076937</v>
      </c>
      <c r="BZ57" s="261">
        <f t="shared" si="119"/>
        <v>0.86914158205493974</v>
      </c>
      <c r="CA57" s="260">
        <f t="shared" si="104"/>
        <v>4407408.3109704712</v>
      </c>
      <c r="CB57" s="256">
        <f t="shared" si="105"/>
        <v>383595.53791180346</v>
      </c>
      <c r="CC57" s="257">
        <f t="shared" si="106"/>
        <v>4400902.6076880638</v>
      </c>
      <c r="CD57" s="257">
        <f t="shared" si="107"/>
        <v>670087.43808778166</v>
      </c>
      <c r="CE57" s="257">
        <f t="shared" si="108"/>
        <v>5070990.0457758456</v>
      </c>
      <c r="CF57" s="261">
        <f t="shared" si="109"/>
        <v>0.86785865638881166</v>
      </c>
    </row>
    <row r="58" spans="1:84" x14ac:dyDescent="0.35">
      <c r="A58" s="59" t="s">
        <v>93</v>
      </c>
      <c r="B58" s="309">
        <f>'2014 RAW DATA'!N27</f>
        <v>2225082.7027397258</v>
      </c>
      <c r="C58" s="341">
        <f>'2014 RAW DATA'!M27</f>
        <v>530379.6284931507</v>
      </c>
      <c r="D58" s="310">
        <f t="shared" si="46"/>
        <v>2755462.3312328765</v>
      </c>
      <c r="E58" s="167">
        <f t="shared" si="47"/>
        <v>0.80751700994734954</v>
      </c>
      <c r="F58" s="173">
        <f>'2015 RAW DATA'!N27</f>
        <v>2459952.8032860002</v>
      </c>
      <c r="G58" s="293">
        <f>'2015 RAW DATA'!M27</f>
        <v>508168.06279200013</v>
      </c>
      <c r="H58" s="172">
        <f t="shared" si="48"/>
        <v>2968120.8660780005</v>
      </c>
      <c r="I58" s="167">
        <f t="shared" si="49"/>
        <v>0.82879131756400448</v>
      </c>
      <c r="J58" s="173">
        <f>'2016 RAW DATA'!N27</f>
        <v>2486393.1963539994</v>
      </c>
      <c r="K58" s="293">
        <f>'2016 RAW DATA'!M27</f>
        <v>566163.76110599993</v>
      </c>
      <c r="L58" s="172">
        <f t="shared" si="50"/>
        <v>3052556.9574599992</v>
      </c>
      <c r="M58" s="167">
        <f t="shared" si="51"/>
        <v>0.81452802716018813</v>
      </c>
      <c r="N58" s="173">
        <f>+'2017 RAW DATA'!N27</f>
        <v>3297446</v>
      </c>
      <c r="O58" s="293">
        <f>+'2017 RAW DATA'!M27</f>
        <v>65843</v>
      </c>
      <c r="P58" s="172">
        <f t="shared" si="52"/>
        <v>3363289</v>
      </c>
      <c r="Q58" s="167">
        <f t="shared" si="53"/>
        <v>0.98042303233531225</v>
      </c>
      <c r="R58" s="165">
        <f>'2017 NEW RAW DATA '!N27</f>
        <v>3085874</v>
      </c>
      <c r="S58" s="165">
        <f>'2017 NEW RAW DATA '!M27</f>
        <v>28127</v>
      </c>
      <c r="T58" s="165">
        <f t="shared" si="54"/>
        <v>3114001</v>
      </c>
      <c r="U58" s="167">
        <f t="shared" si="55"/>
        <v>0.99096756873231573</v>
      </c>
      <c r="V58" s="165">
        <f>'2018 RAW DATA'!N27</f>
        <v>2938943</v>
      </c>
      <c r="W58" s="165">
        <f>'2018 RAW DATA'!M27</f>
        <v>30552</v>
      </c>
      <c r="X58" s="165">
        <f t="shared" si="56"/>
        <v>2969495</v>
      </c>
      <c r="Y58" s="167">
        <f t="shared" si="57"/>
        <v>0.98971138190163643</v>
      </c>
      <c r="Z58" s="165">
        <f>'2019 RAW DATA'!N27</f>
        <v>2745698</v>
      </c>
      <c r="AA58" s="165">
        <f>'2019 RAW DATA'!M27</f>
        <v>26693</v>
      </c>
      <c r="AB58" s="165">
        <f t="shared" si="58"/>
        <v>2772391</v>
      </c>
      <c r="AC58" s="239">
        <f t="shared" si="59"/>
        <v>0.99037184870388051</v>
      </c>
      <c r="AD58" s="239"/>
      <c r="AE58" s="239"/>
      <c r="AF58" s="239"/>
      <c r="AG58" s="464">
        <v>47848</v>
      </c>
      <c r="AH58" s="339">
        <v>0.02</v>
      </c>
      <c r="AI58" s="348">
        <f t="shared" si="38"/>
        <v>2800611.96</v>
      </c>
      <c r="AJ58" s="116">
        <f t="shared" si="60"/>
        <v>48804.959999999999</v>
      </c>
      <c r="AK58" s="345">
        <f t="shared" si="61"/>
        <v>2751807</v>
      </c>
      <c r="AL58" s="345">
        <f t="shared" si="39"/>
        <v>76031.820000000007</v>
      </c>
      <c r="AM58" s="345">
        <f t="shared" si="40"/>
        <v>2827838.82</v>
      </c>
      <c r="AN58" s="349">
        <f t="shared" si="41"/>
        <v>0.97311309984774885</v>
      </c>
      <c r="AO58" s="173">
        <f>'2020 RAW DATA'!N27</f>
        <v>5286631</v>
      </c>
      <c r="AP58" s="172">
        <f>'2020 RAW DATA'!M27</f>
        <v>47780</v>
      </c>
      <c r="AQ58" s="172">
        <f t="shared" si="62"/>
        <v>5334411</v>
      </c>
      <c r="AR58" s="167">
        <f t="shared" si="63"/>
        <v>0.9910430598617167</v>
      </c>
      <c r="AS58" s="257">
        <f t="shared" si="64"/>
        <v>2806843.14</v>
      </c>
      <c r="AT58" s="256">
        <f t="shared" si="65"/>
        <v>49781.059199999996</v>
      </c>
      <c r="AU58" s="354">
        <f t="shared" si="66"/>
        <v>2806082.8218</v>
      </c>
      <c r="AV58" s="257">
        <f t="shared" si="67"/>
        <v>78312.774600000004</v>
      </c>
      <c r="AW58" s="354">
        <f t="shared" si="42"/>
        <v>2884395.5964000002</v>
      </c>
      <c r="AX58" s="261">
        <f t="shared" si="95"/>
        <v>0.97284950278743254</v>
      </c>
      <c r="AY58" s="173">
        <f>'2021 RAW Data'!N27</f>
        <v>5225638</v>
      </c>
      <c r="AZ58" s="172">
        <f>'2021 RAW Data'!M27</f>
        <v>12735</v>
      </c>
      <c r="BA58" s="172">
        <f t="shared" si="97"/>
        <v>5238373</v>
      </c>
      <c r="BB58" s="167">
        <f t="shared" si="68"/>
        <v>0.99756890164178835</v>
      </c>
      <c r="BC58" s="257">
        <f t="shared" si="69"/>
        <v>2862204.4782360001</v>
      </c>
      <c r="BD58" s="256">
        <f t="shared" si="70"/>
        <v>50776.680383999999</v>
      </c>
      <c r="BE58" s="354">
        <f t="shared" si="71"/>
        <v>2861421.3504899996</v>
      </c>
      <c r="BF58" s="257">
        <f t="shared" si="72"/>
        <v>80662.157838000014</v>
      </c>
      <c r="BG58" s="257">
        <f t="shared" si="43"/>
        <v>2942083.5083279996</v>
      </c>
      <c r="BH58" s="261">
        <f t="shared" si="73"/>
        <v>0.97258332144221127</v>
      </c>
      <c r="BI58" s="260">
        <f>BE58*(100%+AH58)</f>
        <v>2918649.7774997996</v>
      </c>
      <c r="BJ58" s="256">
        <f>+AG58*((100%+AH58)^4)</f>
        <v>51792.213991680001</v>
      </c>
      <c r="BK58" s="257">
        <f t="shared" si="112"/>
        <v>2917843.1559214201</v>
      </c>
      <c r="BL58" s="257">
        <f>BF58*((100%+(AH58*1.5)))</f>
        <v>83082.022573140013</v>
      </c>
      <c r="BM58" s="257">
        <f>AB58*(100%+AH58)^4</f>
        <v>3000925.1784945601</v>
      </c>
      <c r="BN58" s="261">
        <f>BK58/BM58</f>
        <v>0.97231453047595851</v>
      </c>
      <c r="BO58" s="260">
        <f>BK58*(100%+AH58)</f>
        <v>2976200.0190398484</v>
      </c>
      <c r="BP58" s="256">
        <f>+AG58*((100%+AH58)^5)</f>
        <v>52828.058271513604</v>
      </c>
      <c r="BQ58" s="257">
        <f t="shared" si="113"/>
        <v>2975369.1988141169</v>
      </c>
      <c r="BR58" s="257">
        <f>BL58*((100%+(AH58*1.5)))</f>
        <v>85574.483250334219</v>
      </c>
      <c r="BS58" s="257">
        <f>AB58*(100%+AH58)^5</f>
        <v>3060943.6820644513</v>
      </c>
      <c r="BT58" s="261">
        <f>BQ58/BS58</f>
        <v>0.97204310430415408</v>
      </c>
      <c r="BU58" s="260">
        <f t="shared" si="114"/>
        <v>3034876.5827903994</v>
      </c>
      <c r="BV58" s="256">
        <f t="shared" si="115"/>
        <v>53884.619436943874</v>
      </c>
      <c r="BW58" s="257">
        <f t="shared" si="116"/>
        <v>3034020.8379578963</v>
      </c>
      <c r="BX58" s="257">
        <f t="shared" si="117"/>
        <v>88141.717747844246</v>
      </c>
      <c r="BY58" s="257">
        <f t="shared" si="118"/>
        <v>3122162.5557057406</v>
      </c>
      <c r="BZ58" s="261">
        <f t="shared" si="119"/>
        <v>0.9717690170914498</v>
      </c>
      <c r="CA58" s="260">
        <f t="shared" si="104"/>
        <v>3094701.2547170543</v>
      </c>
      <c r="CB58" s="256">
        <f t="shared" si="105"/>
        <v>54962.311825682744</v>
      </c>
      <c r="CC58" s="257">
        <f t="shared" si="106"/>
        <v>3093819.8375395746</v>
      </c>
      <c r="CD58" s="257">
        <f t="shared" si="107"/>
        <v>90785.969280279576</v>
      </c>
      <c r="CE58" s="257">
        <f t="shared" si="108"/>
        <v>3184605.8068198543</v>
      </c>
      <c r="CF58" s="261">
        <f t="shared" si="109"/>
        <v>0.97149224274920909</v>
      </c>
    </row>
    <row r="59" spans="1:84" x14ac:dyDescent="0.35">
      <c r="A59" s="56" t="s">
        <v>94</v>
      </c>
      <c r="B59" s="309">
        <f>'2014 RAW DATA'!N28</f>
        <v>1859028.3076712328</v>
      </c>
      <c r="C59" s="341">
        <f>'2014 RAW DATA'!M28</f>
        <v>465683.15945205477</v>
      </c>
      <c r="D59" s="310">
        <f t="shared" si="46"/>
        <v>2324711.4671232877</v>
      </c>
      <c r="E59" s="167">
        <f t="shared" si="47"/>
        <v>0.79968130839552565</v>
      </c>
      <c r="F59" s="173">
        <f>'2015 RAW DATA'!N28</f>
        <v>1935708.4928220001</v>
      </c>
      <c r="G59" s="293">
        <f>'2015 RAW DATA'!M28</f>
        <v>492099.51548999979</v>
      </c>
      <c r="H59" s="172">
        <f t="shared" si="48"/>
        <v>2427808.008312</v>
      </c>
      <c r="I59" s="167">
        <f t="shared" si="49"/>
        <v>0.79730707131485834</v>
      </c>
      <c r="J59" s="173">
        <f>'2016 RAW DATA'!N28</f>
        <v>2030546.6857859998</v>
      </c>
      <c r="K59" s="293">
        <f>'2016 RAW DATA'!M28</f>
        <v>508321.25291400007</v>
      </c>
      <c r="L59" s="172">
        <f t="shared" si="50"/>
        <v>2538867.9386999998</v>
      </c>
      <c r="M59" s="167">
        <f t="shared" si="51"/>
        <v>0.79978428764818676</v>
      </c>
      <c r="N59" s="173">
        <f>+'2017 RAW DATA'!N28</f>
        <v>2965788</v>
      </c>
      <c r="O59" s="293">
        <f>+'2017 RAW DATA'!M28</f>
        <v>105739</v>
      </c>
      <c r="P59" s="172">
        <f t="shared" si="52"/>
        <v>3071527</v>
      </c>
      <c r="Q59" s="167">
        <f t="shared" si="53"/>
        <v>0.96557445205593184</v>
      </c>
      <c r="R59" s="165">
        <f>'2017 NEW RAW DATA '!N28</f>
        <v>2449465</v>
      </c>
      <c r="S59" s="165">
        <f>'2017 NEW RAW DATA '!M28</f>
        <v>82479</v>
      </c>
      <c r="T59" s="165">
        <f t="shared" si="54"/>
        <v>2531944</v>
      </c>
      <c r="U59" s="167">
        <f t="shared" si="55"/>
        <v>0.96742463498402809</v>
      </c>
      <c r="V59" s="165">
        <f>'2018 RAW DATA'!N28</f>
        <v>2837251</v>
      </c>
      <c r="W59" s="165">
        <f>'2018 RAW DATA'!M28</f>
        <v>101390</v>
      </c>
      <c r="X59" s="165">
        <f t="shared" si="56"/>
        <v>2938641</v>
      </c>
      <c r="Y59" s="167">
        <f t="shared" si="57"/>
        <v>0.96549765691011591</v>
      </c>
      <c r="Z59" s="165">
        <f>'2019 RAW DATA'!N28</f>
        <v>2895478</v>
      </c>
      <c r="AA59" s="165">
        <f>'2019 RAW DATA'!M28</f>
        <v>142752</v>
      </c>
      <c r="AB59" s="165">
        <f t="shared" si="58"/>
        <v>3038230</v>
      </c>
      <c r="AC59" s="239">
        <f t="shared" si="59"/>
        <v>0.95301474871882641</v>
      </c>
      <c r="AD59" s="239"/>
      <c r="AE59" s="239"/>
      <c r="AF59" s="239"/>
      <c r="AG59" s="464">
        <v>185599</v>
      </c>
      <c r="AH59" s="339">
        <v>0.01</v>
      </c>
      <c r="AI59" s="348">
        <f t="shared" si="38"/>
        <v>2924432.78</v>
      </c>
      <c r="AJ59" s="116">
        <f t="shared" si="60"/>
        <v>187454.99</v>
      </c>
      <c r="AK59" s="345">
        <f t="shared" si="61"/>
        <v>2736977.79</v>
      </c>
      <c r="AL59" s="345">
        <f t="shared" si="39"/>
        <v>331634.51</v>
      </c>
      <c r="AM59" s="345">
        <f t="shared" si="40"/>
        <v>3068612.3</v>
      </c>
      <c r="AN59" s="349">
        <f t="shared" si="41"/>
        <v>0.89192687847858798</v>
      </c>
      <c r="AO59" s="173">
        <f>'2020 RAW DATA'!N28</f>
        <v>4122378</v>
      </c>
      <c r="AP59" s="172">
        <f>'2020 RAW DATA'!M28</f>
        <v>250922</v>
      </c>
      <c r="AQ59" s="172">
        <f t="shared" si="62"/>
        <v>4373300</v>
      </c>
      <c r="AR59" s="167">
        <f t="shared" si="63"/>
        <v>0.94262410536665675</v>
      </c>
      <c r="AS59" s="257">
        <f t="shared" si="64"/>
        <v>2764347.5679000001</v>
      </c>
      <c r="AT59" s="256">
        <f t="shared" si="65"/>
        <v>189329.5399</v>
      </c>
      <c r="AU59" s="354">
        <f t="shared" si="66"/>
        <v>2762689.3953499999</v>
      </c>
      <c r="AV59" s="257">
        <f t="shared" si="67"/>
        <v>336609.02765</v>
      </c>
      <c r="AW59" s="354">
        <f t="shared" si="42"/>
        <v>3099298.423</v>
      </c>
      <c r="AX59" s="261">
        <f t="shared" si="95"/>
        <v>0.89139186302551154</v>
      </c>
      <c r="AY59" s="173">
        <f>'2021 RAW Data'!N28</f>
        <v>4534738</v>
      </c>
      <c r="AZ59" s="172">
        <f>'2021 RAW Data'!M28</f>
        <v>246582</v>
      </c>
      <c r="BA59" s="172">
        <f t="shared" si="97"/>
        <v>4781320</v>
      </c>
      <c r="BB59" s="167">
        <f t="shared" si="68"/>
        <v>0.94842804915797307</v>
      </c>
      <c r="BC59" s="257">
        <f t="shared" si="69"/>
        <v>2790316.2893034997</v>
      </c>
      <c r="BD59" s="256">
        <f t="shared" si="70"/>
        <v>191222.83529899997</v>
      </c>
      <c r="BE59" s="354">
        <f t="shared" si="71"/>
        <v>2788633.2441652496</v>
      </c>
      <c r="BF59" s="257">
        <f t="shared" si="72"/>
        <v>341658.16306474997</v>
      </c>
      <c r="BG59" s="257">
        <f t="shared" si="43"/>
        <v>3130291.4072299995</v>
      </c>
      <c r="BH59" s="261">
        <f t="shared" si="73"/>
        <v>0.89085419898108342</v>
      </c>
      <c r="BI59" s="260">
        <f t="shared" si="74"/>
        <v>2816519.5766069023</v>
      </c>
      <c r="BJ59" s="256">
        <f t="shared" si="75"/>
        <v>193135.06365199</v>
      </c>
      <c r="BK59" s="257">
        <f t="shared" ref="BK59:BK64" si="120">+BM59-BL59</f>
        <v>2814811.2857915787</v>
      </c>
      <c r="BL59" s="257">
        <f t="shared" si="76"/>
        <v>346783.03551072121</v>
      </c>
      <c r="BM59" s="257">
        <f t="shared" si="96"/>
        <v>3161594.3213022999</v>
      </c>
      <c r="BN59" s="261">
        <f t="shared" si="77"/>
        <v>0.890313873233465</v>
      </c>
      <c r="BO59" s="260">
        <f t="shared" si="78"/>
        <v>2842959.3986494946</v>
      </c>
      <c r="BP59" s="256">
        <f t="shared" si="79"/>
        <v>195066.4142885099</v>
      </c>
      <c r="BQ59" s="257">
        <f t="shared" ref="BQ59:BQ64" si="121">+BS59-BR59</f>
        <v>2841225.4834719407</v>
      </c>
      <c r="BR59" s="257">
        <f t="shared" si="80"/>
        <v>351984.78104338201</v>
      </c>
      <c r="BS59" s="257">
        <f t="shared" si="81"/>
        <v>3193210.2645153226</v>
      </c>
      <c r="BT59" s="261">
        <f t="shared" si="82"/>
        <v>0.88977087260590793</v>
      </c>
      <c r="BU59" s="260">
        <f t="shared" si="114"/>
        <v>2869637.7383066602</v>
      </c>
      <c r="BV59" s="256">
        <f t="shared" si="115"/>
        <v>197017.07843139503</v>
      </c>
      <c r="BW59" s="257">
        <f t="shared" si="116"/>
        <v>2867877.814401444</v>
      </c>
      <c r="BX59" s="257">
        <f t="shared" si="117"/>
        <v>357264.5527590327</v>
      </c>
      <c r="BY59" s="257">
        <f t="shared" si="118"/>
        <v>3225142.3671604767</v>
      </c>
      <c r="BZ59" s="261">
        <f t="shared" si="119"/>
        <v>0.88922518385643223</v>
      </c>
      <c r="CA59" s="260">
        <f t="shared" si="89"/>
        <v>2896556.5925454586</v>
      </c>
      <c r="CB59" s="256">
        <f t="shared" si="90"/>
        <v>198987.24921570893</v>
      </c>
      <c r="CC59" s="257">
        <f t="shared" si="91"/>
        <v>2894770.2697816622</v>
      </c>
      <c r="CD59" s="257">
        <f t="shared" si="92"/>
        <v>362623.52105041815</v>
      </c>
      <c r="CE59" s="257">
        <f t="shared" si="93"/>
        <v>3257393.7908320804</v>
      </c>
      <c r="CF59" s="261">
        <f t="shared" si="94"/>
        <v>0.88867679367750363</v>
      </c>
    </row>
    <row r="60" spans="1:84" x14ac:dyDescent="0.35">
      <c r="A60" s="56" t="s">
        <v>95</v>
      </c>
      <c r="B60" s="309">
        <f>'2014 RAW DATA'!N29</f>
        <v>2194580.3293150687</v>
      </c>
      <c r="C60" s="341">
        <f>'2014 RAW DATA'!M29</f>
        <v>94637.704246575333</v>
      </c>
      <c r="D60" s="310">
        <f t="shared" si="46"/>
        <v>2289218.0335616441</v>
      </c>
      <c r="E60" s="167">
        <f t="shared" si="47"/>
        <v>0.95865937500966869</v>
      </c>
      <c r="F60" s="173">
        <f>'2015 RAW DATA'!N29</f>
        <v>2269959.1033019987</v>
      </c>
      <c r="G60" s="293">
        <f>'2015 RAW DATA'!M29</f>
        <v>76216.853904000003</v>
      </c>
      <c r="H60" s="172">
        <f t="shared" si="48"/>
        <v>2346175.9572059987</v>
      </c>
      <c r="I60" s="167">
        <f t="shared" si="49"/>
        <v>0.96751443400060888</v>
      </c>
      <c r="J60" s="173">
        <f>'2016 RAW DATA'!N29</f>
        <v>2418489.1938420003</v>
      </c>
      <c r="K60" s="293">
        <f>'2016 RAW DATA'!M29</f>
        <v>52585.136123999997</v>
      </c>
      <c r="L60" s="172">
        <f t="shared" si="50"/>
        <v>2471074.3299660003</v>
      </c>
      <c r="M60" s="167">
        <f t="shared" si="51"/>
        <v>0.97871972708942212</v>
      </c>
      <c r="N60" s="173">
        <f>+'2017 RAW DATA'!N29</f>
        <v>1301095</v>
      </c>
      <c r="O60" s="293">
        <f>+'2017 RAW DATA'!M29</f>
        <v>4162</v>
      </c>
      <c r="P60" s="172">
        <f t="shared" si="52"/>
        <v>1305257</v>
      </c>
      <c r="Q60" s="167">
        <f t="shared" si="53"/>
        <v>0.99681135592454206</v>
      </c>
      <c r="R60" s="165">
        <f>'2017 NEW RAW DATA '!N29</f>
        <v>1305878</v>
      </c>
      <c r="S60" s="165">
        <f>'2017 NEW RAW DATA '!M29</f>
        <v>3069</v>
      </c>
      <c r="T60" s="165">
        <f t="shared" si="54"/>
        <v>1308947</v>
      </c>
      <c r="U60" s="167">
        <f t="shared" si="55"/>
        <v>0.99765536725321957</v>
      </c>
      <c r="V60" s="165">
        <f>'2018 RAW DATA'!N29</f>
        <v>1604276</v>
      </c>
      <c r="W60" s="165">
        <f>'2018 RAW DATA'!M29</f>
        <v>56190</v>
      </c>
      <c r="X60" s="165">
        <f t="shared" si="56"/>
        <v>1660466</v>
      </c>
      <c r="Y60" s="167">
        <f t="shared" si="57"/>
        <v>0.96616010204364322</v>
      </c>
      <c r="Z60" s="165">
        <f>'2019 RAW DATA'!N29</f>
        <v>1669228</v>
      </c>
      <c r="AA60" s="165">
        <f>'2019 RAW DATA'!M29</f>
        <v>144733</v>
      </c>
      <c r="AB60" s="165">
        <f t="shared" si="58"/>
        <v>1813961</v>
      </c>
      <c r="AC60" s="239">
        <f t="shared" si="59"/>
        <v>0.92021162527750044</v>
      </c>
      <c r="AD60" s="239"/>
      <c r="AE60" s="239"/>
      <c r="AF60" s="239"/>
      <c r="AG60" s="464">
        <v>129890</v>
      </c>
      <c r="AH60" s="339">
        <v>0.01</v>
      </c>
      <c r="AI60" s="348">
        <f t="shared" si="38"/>
        <v>1685920.28</v>
      </c>
      <c r="AJ60" s="116">
        <f t="shared" si="60"/>
        <v>131188.9</v>
      </c>
      <c r="AK60" s="345">
        <f t="shared" si="61"/>
        <v>1554731.3800000001</v>
      </c>
      <c r="AL60" s="345">
        <f t="shared" si="39"/>
        <v>277369.23</v>
      </c>
      <c r="AM60" s="345">
        <f t="shared" si="40"/>
        <v>1832100.61</v>
      </c>
      <c r="AN60" s="349">
        <f t="shared" si="41"/>
        <v>0.84860589615763515</v>
      </c>
      <c r="AO60" s="173">
        <f>'2020 RAW DATA'!N29</f>
        <v>2951465</v>
      </c>
      <c r="AP60" s="172">
        <f>'2020 RAW DATA'!M29</f>
        <v>248478</v>
      </c>
      <c r="AQ60" s="172">
        <f t="shared" si="62"/>
        <v>3199943</v>
      </c>
      <c r="AR60" s="167">
        <f t="shared" si="63"/>
        <v>0.92234924184587042</v>
      </c>
      <c r="AS60" s="257">
        <f t="shared" si="64"/>
        <v>1570278.6938000002</v>
      </c>
      <c r="AT60" s="256">
        <f t="shared" si="65"/>
        <v>132500.78899999999</v>
      </c>
      <c r="AU60" s="354">
        <f t="shared" si="66"/>
        <v>1568891.8476499999</v>
      </c>
      <c r="AV60" s="257">
        <f t="shared" si="67"/>
        <v>281529.76844999997</v>
      </c>
      <c r="AW60" s="354">
        <f t="shared" si="42"/>
        <v>1850421.6161</v>
      </c>
      <c r="AX60" s="261">
        <f t="shared" si="95"/>
        <v>0.84785642039603926</v>
      </c>
      <c r="AY60" s="173">
        <f>'2021 RAW Data'!N29</f>
        <v>2836904</v>
      </c>
      <c r="AZ60" s="172">
        <f>'2021 RAW Data'!M29</f>
        <v>175985</v>
      </c>
      <c r="BA60" s="172">
        <f t="shared" si="97"/>
        <v>3012889</v>
      </c>
      <c r="BB60" s="167">
        <f t="shared" si="68"/>
        <v>0.94158928523420549</v>
      </c>
      <c r="BC60" s="257">
        <f t="shared" si="69"/>
        <v>1584580.7661265</v>
      </c>
      <c r="BD60" s="256">
        <f t="shared" si="70"/>
        <v>133825.79689</v>
      </c>
      <c r="BE60" s="354">
        <f t="shared" si="71"/>
        <v>1583173.11728425</v>
      </c>
      <c r="BF60" s="257">
        <f t="shared" si="72"/>
        <v>285752.71497674996</v>
      </c>
      <c r="BG60" s="257">
        <f t="shared" si="43"/>
        <v>1868925.8322609998</v>
      </c>
      <c r="BH60" s="261">
        <f t="shared" si="73"/>
        <v>0.84710323435839596</v>
      </c>
      <c r="BI60" s="260">
        <f t="shared" si="74"/>
        <v>1599004.8484570924</v>
      </c>
      <c r="BJ60" s="256">
        <f t="shared" si="75"/>
        <v>135164.0548589</v>
      </c>
      <c r="BK60" s="257">
        <f t="shared" si="120"/>
        <v>1597576.0848822088</v>
      </c>
      <c r="BL60" s="257">
        <f t="shared" si="76"/>
        <v>290039.00570140121</v>
      </c>
      <c r="BM60" s="257">
        <f t="shared" si="96"/>
        <v>1887615.0905836101</v>
      </c>
      <c r="BN60" s="261">
        <f t="shared" si="77"/>
        <v>0.8463463196770018</v>
      </c>
      <c r="BO60" s="260">
        <f t="shared" si="78"/>
        <v>1613551.8457310309</v>
      </c>
      <c r="BP60" s="256">
        <f t="shared" si="79"/>
        <v>136515.69540748899</v>
      </c>
      <c r="BQ60" s="257">
        <f t="shared" si="121"/>
        <v>1612101.6507025238</v>
      </c>
      <c r="BR60" s="257">
        <f t="shared" si="80"/>
        <v>294389.5907869222</v>
      </c>
      <c r="BS60" s="257">
        <f t="shared" si="81"/>
        <v>1906491.241489446</v>
      </c>
      <c r="BT60" s="261">
        <f t="shared" si="82"/>
        <v>0.8455856578932246</v>
      </c>
      <c r="BU60" s="260">
        <f t="shared" si="83"/>
        <v>1628222.6672095491</v>
      </c>
      <c r="BV60" s="256">
        <f t="shared" si="84"/>
        <v>137880.85236156391</v>
      </c>
      <c r="BW60" s="257">
        <f t="shared" si="85"/>
        <v>1626750.7192556146</v>
      </c>
      <c r="BX60" s="257">
        <f t="shared" si="86"/>
        <v>298805.43464872602</v>
      </c>
      <c r="BY60" s="257">
        <f t="shared" si="87"/>
        <v>1925556.1539043407</v>
      </c>
      <c r="BZ60" s="261">
        <f t="shared" si="88"/>
        <v>0.84482123045705249</v>
      </c>
      <c r="CA60" s="260">
        <f t="shared" si="89"/>
        <v>1643018.2264481706</v>
      </c>
      <c r="CB60" s="256">
        <f t="shared" si="90"/>
        <v>139259.6608851795</v>
      </c>
      <c r="CC60" s="257">
        <f t="shared" si="91"/>
        <v>1641524.1992749269</v>
      </c>
      <c r="CD60" s="257">
        <f t="shared" si="92"/>
        <v>303287.51616845687</v>
      </c>
      <c r="CE60" s="257">
        <f t="shared" si="93"/>
        <v>1944811.7154433837</v>
      </c>
      <c r="CF60" s="261">
        <f t="shared" si="94"/>
        <v>0.84405301872664196</v>
      </c>
    </row>
    <row r="61" spans="1:84" s="93" customFormat="1" x14ac:dyDescent="0.35">
      <c r="A61" s="93" t="s">
        <v>96</v>
      </c>
      <c r="B61" s="533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8">
        <f>'2017 NEW RAW DATA '!N30</f>
        <v>8283102</v>
      </c>
      <c r="S61" s="538">
        <f>'2017 NEW RAW DATA '!M30</f>
        <v>1714527</v>
      </c>
      <c r="T61" s="538">
        <f t="shared" si="54"/>
        <v>9997629</v>
      </c>
      <c r="U61" s="532">
        <f t="shared" si="55"/>
        <v>0.82850663892408893</v>
      </c>
      <c r="V61" s="538">
        <f>'2018 RAW DATA'!N30</f>
        <v>8687289</v>
      </c>
      <c r="W61" s="538">
        <f>'2018 RAW DATA'!M30</f>
        <v>1543978</v>
      </c>
      <c r="X61" s="538">
        <f>V61+W61</f>
        <v>10231267</v>
      </c>
      <c r="Y61" s="532">
        <f>V61/X61</f>
        <v>0.84909219943140957</v>
      </c>
      <c r="Z61" s="538">
        <f>'2019 RAW DATA'!N30</f>
        <v>9805932</v>
      </c>
      <c r="AA61" s="538">
        <f>'2019 RAW DATA'!M30</f>
        <v>1199780</v>
      </c>
      <c r="AB61" s="538">
        <f>Z61+AA61</f>
        <v>11005712</v>
      </c>
      <c r="AC61" s="531">
        <f>Z61/AB61</f>
        <v>0.89098569906245051</v>
      </c>
      <c r="AD61" s="531"/>
      <c r="AE61" s="531"/>
      <c r="AF61" s="531"/>
      <c r="AG61" s="539">
        <f>AG40+AG45+AG46</f>
        <v>1746445</v>
      </c>
      <c r="AH61" s="512">
        <v>0.02</v>
      </c>
      <c r="AI61" s="540">
        <f t="shared" ref="AI61:AI64" si="122">Z61*(100%+AH61)</f>
        <v>10002050.640000001</v>
      </c>
      <c r="AJ61" s="530">
        <f t="shared" ref="AJ61" si="123">+AG61*((100%+AH61)^1)</f>
        <v>1781373.9000000001</v>
      </c>
      <c r="AK61" s="529">
        <f t="shared" ref="AK61" si="124">AI61-AJ61</f>
        <v>8220676.7400000002</v>
      </c>
      <c r="AL61" s="529">
        <f t="shared" ref="AL61" si="125">AA61*(100%+AH61)+AJ61</f>
        <v>3005149.5</v>
      </c>
      <c r="AM61" s="529">
        <f t="shared" ref="AM61" si="126">AB61*(100%+AH61)^1</f>
        <v>11225826.24</v>
      </c>
      <c r="AN61" s="532">
        <f t="shared" ref="AN61" si="127">AK61/AM61</f>
        <v>0.73230037275189463</v>
      </c>
      <c r="AO61" s="540">
        <f>'2020 RAW DATA'!N30</f>
        <v>27816847</v>
      </c>
      <c r="AP61" s="529">
        <f>'2020 RAW DATA'!M30</f>
        <v>2483467</v>
      </c>
      <c r="AQ61" s="529">
        <f t="shared" si="62"/>
        <v>30300314</v>
      </c>
      <c r="AR61" s="532">
        <f t="shared" si="63"/>
        <v>0.9180382421119464</v>
      </c>
      <c r="AS61" s="529">
        <f t="shared" ref="AS61" si="128">AK61*(100%+AH61)</f>
        <v>8385090.2748000007</v>
      </c>
      <c r="AT61" s="530">
        <f t="shared" ref="AT61" si="129">+AG61*((100%+AH61)^2)</f>
        <v>1817001.378</v>
      </c>
      <c r="AU61" s="541">
        <f t="shared" ref="AU61" si="130">+AW61-AV61</f>
        <v>8355038.7797999997</v>
      </c>
      <c r="AV61" s="529">
        <f t="shared" ref="AV61" si="131">AL61*((100%+(AH61*1.5)))</f>
        <v>3095303.9849999999</v>
      </c>
      <c r="AW61" s="541">
        <f t="shared" ref="AW61" si="132">AB61*(100%+AH61)^2</f>
        <v>11450342.764799999</v>
      </c>
      <c r="AX61" s="532">
        <f t="shared" ref="AX61" si="133">AU61/AW61</f>
        <v>0.72967586660240347</v>
      </c>
      <c r="AY61" s="540">
        <f>'2021 RAW Data'!N30</f>
        <v>14720789</v>
      </c>
      <c r="AZ61" s="529">
        <f>'2021 RAW Data'!M30</f>
        <v>911239</v>
      </c>
      <c r="BA61" s="529">
        <f t="shared" si="97"/>
        <v>15632028</v>
      </c>
      <c r="BB61" s="532">
        <f t="shared" si="68"/>
        <v>0.94170692375934839</v>
      </c>
      <c r="BC61" s="529">
        <f t="shared" ref="BC61" si="134">AU61*(100%+AH61)</f>
        <v>8522139.5553959999</v>
      </c>
      <c r="BD61" s="530">
        <f t="shared" ref="BD61" si="135">+AG61*((100%+AH61)^3)</f>
        <v>1853341.4055599999</v>
      </c>
      <c r="BE61" s="541">
        <f t="shared" ref="BE61" si="136">+BG61-BF61</f>
        <v>8491186.5155459996</v>
      </c>
      <c r="BF61" s="529">
        <f t="shared" ref="BF61" si="137">AV61*((100%+(AH61*1.5)))</f>
        <v>3188163.1045499998</v>
      </c>
      <c r="BG61" s="529">
        <f t="shared" ref="BG61" si="138">AB61*(100%+AH61)^3</f>
        <v>11679349.620096</v>
      </c>
      <c r="BH61" s="532">
        <f t="shared" ref="BH61" si="139">BE61/BG61</f>
        <v>0.72702563000046616</v>
      </c>
      <c r="BI61" s="540">
        <f t="shared" ref="BI61" si="140">BE61*(100%+AH61)</f>
        <v>8661010.2458569203</v>
      </c>
      <c r="BJ61" s="530">
        <f t="shared" ref="BJ61" si="141">+AG61*((100%+AH61)^4)</f>
        <v>1890408.2336712</v>
      </c>
      <c r="BK61" s="529">
        <f t="shared" ref="BK61" si="142">+BM61-BL61</f>
        <v>8629128.6148114204</v>
      </c>
      <c r="BL61" s="529">
        <f t="shared" ref="BL61" si="143">BF61*((100%+(AH61*1.5)))</f>
        <v>3283807.9976864997</v>
      </c>
      <c r="BM61" s="529">
        <f t="shared" ref="BM61" si="144">AB61*(100%+AH61)^4</f>
        <v>11912936.61249792</v>
      </c>
      <c r="BN61" s="532">
        <f t="shared" ref="BN61" si="145">BK61/BM61</f>
        <v>0.7243494106867453</v>
      </c>
      <c r="BO61" s="540">
        <f t="shared" ref="BO61" si="146">BK61*(100%+AH61)</f>
        <v>8801711.1871076487</v>
      </c>
      <c r="BP61" s="530">
        <f t="shared" ref="BP61" si="147">+AG61*((100%+AH61)^5)</f>
        <v>1928216.3983446241</v>
      </c>
      <c r="BQ61" s="529">
        <f t="shared" ref="BQ61" si="148">+BS61-BR61</f>
        <v>8768873.1071307845</v>
      </c>
      <c r="BR61" s="529">
        <f t="shared" ref="BR61" si="149">BL61*((100%+(AH61*1.5)))</f>
        <v>3382322.237617095</v>
      </c>
      <c r="BS61" s="529">
        <f t="shared" ref="BS61" si="150">AB61*(100%+AH61)^5</f>
        <v>12151195.344747879</v>
      </c>
      <c r="BT61" s="532">
        <f t="shared" ref="BT61" si="151">BQ61/BS61</f>
        <v>0.72164695392877232</v>
      </c>
      <c r="BU61" s="540">
        <f t="shared" si="83"/>
        <v>8944250.5692734011</v>
      </c>
      <c r="BV61" s="530">
        <f t="shared" si="84"/>
        <v>1966780.7263115167</v>
      </c>
      <c r="BW61" s="529">
        <f t="shared" si="85"/>
        <v>8910427.3468972277</v>
      </c>
      <c r="BX61" s="529">
        <f t="shared" si="86"/>
        <v>3483791.9047456081</v>
      </c>
      <c r="BY61" s="529">
        <f t="shared" si="87"/>
        <v>12394219.251642836</v>
      </c>
      <c r="BZ61" s="532">
        <f t="shared" si="88"/>
        <v>0.71891800249670124</v>
      </c>
      <c r="CA61" s="540">
        <f t="shared" si="89"/>
        <v>9088635.8938351721</v>
      </c>
      <c r="CB61" s="530">
        <f t="shared" si="90"/>
        <v>2006116.3408377464</v>
      </c>
      <c r="CC61" s="529">
        <f t="shared" si="91"/>
        <v>9053797.9747877158</v>
      </c>
      <c r="CD61" s="529">
        <f t="shared" si="92"/>
        <v>3588305.6618879763</v>
      </c>
      <c r="CE61" s="529">
        <f t="shared" si="93"/>
        <v>12642103.636675691</v>
      </c>
      <c r="CF61" s="532">
        <f t="shared" si="94"/>
        <v>0.71616229663882591</v>
      </c>
    </row>
    <row r="62" spans="1:84" x14ac:dyDescent="0.35">
      <c r="A62" s="56" t="s">
        <v>98</v>
      </c>
      <c r="B62" s="309">
        <f>SUM(B36:B60)</f>
        <v>200326846.76082185</v>
      </c>
      <c r="C62" s="310">
        <f>SUM(C36:C60)</f>
        <v>175299663.689863</v>
      </c>
      <c r="D62" s="310">
        <f>SUM(D36:D60)</f>
        <v>375626510.45068502</v>
      </c>
      <c r="E62" s="167">
        <f t="shared" si="47"/>
        <v>0.53331392004378297</v>
      </c>
      <c r="F62" s="173">
        <f>SUM(F36:F60)</f>
        <v>206407183.66678199</v>
      </c>
      <c r="G62" s="172">
        <f>SUM(G36:G60)</f>
        <v>181062435.28474185</v>
      </c>
      <c r="H62" s="172">
        <f>SUM(H36:H60)</f>
        <v>387469618.95152402</v>
      </c>
      <c r="I62" s="167">
        <f t="shared" si="49"/>
        <v>0.532705465335091</v>
      </c>
      <c r="J62" s="173">
        <f>SUM(J36:J60)</f>
        <v>227745824.11588338</v>
      </c>
      <c r="K62" s="172">
        <f>SUM(K36:K60)</f>
        <v>204001893.69866335</v>
      </c>
      <c r="L62" s="172">
        <f>SUM(L36:L60)</f>
        <v>431747717.81454664</v>
      </c>
      <c r="M62" s="167">
        <f t="shared" si="51"/>
        <v>0.52749745909186152</v>
      </c>
      <c r="N62" s="173">
        <f>SUM(N36:N60)</f>
        <v>266073839</v>
      </c>
      <c r="O62" s="172">
        <f>SUM(O36:O60)</f>
        <v>83560769</v>
      </c>
      <c r="P62" s="172">
        <f>SUM(P36:P60)</f>
        <v>349634608</v>
      </c>
      <c r="Q62" s="167">
        <f t="shared" si="53"/>
        <v>0.76100544085727351</v>
      </c>
      <c r="R62" s="165">
        <f>SUM(R36:R60)</f>
        <v>268808779</v>
      </c>
      <c r="S62" s="165">
        <f>SUM(S36:S60)</f>
        <v>74955944</v>
      </c>
      <c r="T62" s="165">
        <f t="shared" si="54"/>
        <v>343764723</v>
      </c>
      <c r="U62" s="167">
        <f t="shared" si="55"/>
        <v>0.78195568368427382</v>
      </c>
      <c r="V62" s="165">
        <f>SUM(V36:V60)</f>
        <v>280227739</v>
      </c>
      <c r="W62" s="165">
        <f>SUM(W36:W60)</f>
        <v>69956254</v>
      </c>
      <c r="X62" s="165">
        <f t="shared" si="56"/>
        <v>350183993</v>
      </c>
      <c r="Y62" s="167">
        <f t="shared" si="57"/>
        <v>0.80023000651546061</v>
      </c>
      <c r="Z62" s="165">
        <f>SUM(Z36:Z60)</f>
        <v>277363086</v>
      </c>
      <c r="AA62" s="165">
        <f>SUM(AA36:AA60)</f>
        <v>64460584</v>
      </c>
      <c r="AB62" s="165">
        <f t="shared" si="58"/>
        <v>341823670</v>
      </c>
      <c r="AC62" s="239">
        <f t="shared" si="59"/>
        <v>0.81142153204311451</v>
      </c>
      <c r="AD62" s="239"/>
      <c r="AE62" s="239"/>
      <c r="AF62" s="239"/>
      <c r="AG62" s="464">
        <f>SUM(AG36:AG60)</f>
        <v>35000402</v>
      </c>
      <c r="AH62" s="339">
        <v>0.02</v>
      </c>
      <c r="AI62" s="260">
        <f t="shared" si="122"/>
        <v>282910347.72000003</v>
      </c>
      <c r="AJ62" s="116">
        <f t="shared" si="60"/>
        <v>35700410.039999999</v>
      </c>
      <c r="AK62" s="345">
        <f t="shared" si="61"/>
        <v>247209937.68000004</v>
      </c>
      <c r="AL62" s="345">
        <f>AA62*(100%+AH62)+AJ62</f>
        <v>101450205.72</v>
      </c>
      <c r="AM62" s="345">
        <f>AB62*(100%+AH62)^1</f>
        <v>348660143.40000004</v>
      </c>
      <c r="AN62" s="349">
        <f t="shared" si="41"/>
        <v>0.70902838296715964</v>
      </c>
      <c r="AO62" s="173">
        <f>SUM(AO36:AO60)</f>
        <v>412591530</v>
      </c>
      <c r="AP62" s="172">
        <f>SUM(AP36:AP60)</f>
        <v>42596733</v>
      </c>
      <c r="AQ62" s="172">
        <f t="shared" si="62"/>
        <v>455188263</v>
      </c>
      <c r="AR62" s="167">
        <f t="shared" si="63"/>
        <v>0.90641952690243244</v>
      </c>
      <c r="AS62" s="257">
        <f t="shared" si="64"/>
        <v>252154136.43360004</v>
      </c>
      <c r="AT62" s="256">
        <f t="shared" si="65"/>
        <v>36414418.240800001</v>
      </c>
      <c r="AU62" s="354">
        <f t="shared" si="66"/>
        <v>251139634.37639999</v>
      </c>
      <c r="AV62" s="257">
        <f t="shared" si="67"/>
        <v>104493711.8916</v>
      </c>
      <c r="AW62" s="354">
        <f>AB62*(100%+AH62)^2</f>
        <v>355633346.26800001</v>
      </c>
      <c r="AX62" s="261">
        <f t="shared" si="95"/>
        <v>0.7061757200550729</v>
      </c>
      <c r="AY62" s="173">
        <f>SUM(AY36:AY60)</f>
        <v>391895706</v>
      </c>
      <c r="AZ62" s="172">
        <f>SUM(AZ36:AZ60)</f>
        <v>46704997</v>
      </c>
      <c r="BA62" s="172">
        <f t="shared" si="97"/>
        <v>438600703</v>
      </c>
      <c r="BB62" s="167">
        <f t="shared" si="68"/>
        <v>0.89351362941157897</v>
      </c>
      <c r="BC62" s="257">
        <f t="shared" si="69"/>
        <v>256162427.06392801</v>
      </c>
      <c r="BD62" s="256">
        <f t="shared" si="70"/>
        <v>37142706.605615996</v>
      </c>
      <c r="BE62" s="354">
        <f t="shared" si="71"/>
        <v>255117489.94501197</v>
      </c>
      <c r="BF62" s="257">
        <f t="shared" si="72"/>
        <v>107628523.248348</v>
      </c>
      <c r="BG62" s="257">
        <f>AB62*(100%+AH62)^3</f>
        <v>362746013.19335997</v>
      </c>
      <c r="BH62" s="261">
        <f t="shared" si="73"/>
        <v>0.70329508985953448</v>
      </c>
      <c r="BI62" s="260">
        <f t="shared" si="74"/>
        <v>260219839.74391222</v>
      </c>
      <c r="BJ62" s="256">
        <f t="shared" si="75"/>
        <v>37885560.73772832</v>
      </c>
      <c r="BK62" s="257">
        <f t="shared" si="120"/>
        <v>259143554.51142871</v>
      </c>
      <c r="BL62" s="257">
        <f t="shared" si="76"/>
        <v>110857378.94579844</v>
      </c>
      <c r="BM62" s="257">
        <f t="shared" si="96"/>
        <v>370000933.45722717</v>
      </c>
      <c r="BN62" s="261">
        <f t="shared" si="77"/>
        <v>0.70038621819149061</v>
      </c>
      <c r="BO62" s="260">
        <f t="shared" si="78"/>
        <v>264326425.6016573</v>
      </c>
      <c r="BP62" s="256">
        <f t="shared" si="79"/>
        <v>38643271.952482887</v>
      </c>
      <c r="BQ62" s="257">
        <f t="shared" si="121"/>
        <v>263217851.81219935</v>
      </c>
      <c r="BR62" s="257">
        <f t="shared" si="80"/>
        <v>114183100.3141724</v>
      </c>
      <c r="BS62" s="257">
        <f t="shared" si="81"/>
        <v>377400952.12637174</v>
      </c>
      <c r="BT62" s="261">
        <f t="shared" si="82"/>
        <v>0.69744882817376019</v>
      </c>
      <c r="BU62" s="260">
        <f t="shared" si="83"/>
        <v>268482208.84844333</v>
      </c>
      <c r="BV62" s="256">
        <f t="shared" si="84"/>
        <v>39416137.391532548</v>
      </c>
      <c r="BW62" s="257">
        <f t="shared" si="85"/>
        <v>267340377.8453016</v>
      </c>
      <c r="BX62" s="257">
        <f t="shared" si="86"/>
        <v>117608593.32359758</v>
      </c>
      <c r="BY62" s="257">
        <f t="shared" si="87"/>
        <v>384948971.16889918</v>
      </c>
      <c r="BZ62" s="261">
        <f t="shared" si="88"/>
        <v>0.69448264021467943</v>
      </c>
      <c r="CA62" s="260">
        <f t="shared" si="89"/>
        <v>272687185.40220761</v>
      </c>
      <c r="CB62" s="256">
        <f t="shared" si="90"/>
        <v>40204460.139363192</v>
      </c>
      <c r="CC62" s="257">
        <f t="shared" si="91"/>
        <v>271511099.46897161</v>
      </c>
      <c r="CD62" s="257">
        <f t="shared" si="92"/>
        <v>121136851.12330551</v>
      </c>
      <c r="CE62" s="257">
        <f t="shared" si="93"/>
        <v>392647950.59227711</v>
      </c>
      <c r="CF62" s="261">
        <f t="shared" si="94"/>
        <v>0.69148737198148991</v>
      </c>
    </row>
    <row r="63" spans="1:84" x14ac:dyDescent="0.35">
      <c r="A63" s="56" t="s">
        <v>99</v>
      </c>
      <c r="B63" s="309">
        <f>'2014 RAW DATA'!N30</f>
        <v>78630207.427397266</v>
      </c>
      <c r="C63" s="341">
        <f>'2014 RAW DATA'!M30</f>
        <v>11413149.42739726</v>
      </c>
      <c r="D63" s="310">
        <f>+B63++C63</f>
        <v>90043356.854794532</v>
      </c>
      <c r="E63" s="167">
        <f t="shared" si="47"/>
        <v>0.8732482903119404</v>
      </c>
      <c r="F63" s="173">
        <f>'2015 RAW DATA'!N30</f>
        <v>80427564.67123194</v>
      </c>
      <c r="G63" s="293">
        <f>'2015 RAW DATA'!M30</f>
        <v>11469032.895318003</v>
      </c>
      <c r="H63" s="172">
        <f>F63+G63</f>
        <v>91896597.566549942</v>
      </c>
      <c r="I63" s="167">
        <f t="shared" si="49"/>
        <v>0.87519632718706131</v>
      </c>
      <c r="J63" s="173">
        <f>'2016 RAW DATA'!N30</f>
        <v>93850068.127967924</v>
      </c>
      <c r="K63" s="293">
        <f>'2016 RAW DATA'!M30</f>
        <v>16149703.637802016</v>
      </c>
      <c r="L63" s="172">
        <f>+J63++K63</f>
        <v>109999771.76576994</v>
      </c>
      <c r="M63" s="167">
        <f t="shared" si="51"/>
        <v>0.85318420776189707</v>
      </c>
      <c r="N63" s="173">
        <f>+'2017 RAW DATA'!N30</f>
        <v>82230053</v>
      </c>
      <c r="O63" s="293">
        <f>+'2017 RAW DATA'!M30</f>
        <v>1789355</v>
      </c>
      <c r="P63" s="172">
        <f>+N63++O63</f>
        <v>84019408</v>
      </c>
      <c r="Q63" s="167">
        <f t="shared" si="53"/>
        <v>0.97870307536563461</v>
      </c>
      <c r="R63" s="165">
        <f>'2017 NEW RAW DATA '!N31</f>
        <v>75264811</v>
      </c>
      <c r="S63" s="165">
        <f>'2017 NEW RAW DATA '!M31</f>
        <v>941982</v>
      </c>
      <c r="T63" s="165">
        <f t="shared" si="54"/>
        <v>76206793</v>
      </c>
      <c r="U63" s="167">
        <f t="shared" si="55"/>
        <v>0.98763913343000798</v>
      </c>
      <c r="V63" s="165">
        <f>'2018 RAW DATA'!N31</f>
        <v>77080696</v>
      </c>
      <c r="W63" s="165">
        <f>'2018 RAW DATA'!M31</f>
        <v>912635</v>
      </c>
      <c r="X63" s="165">
        <f t="shared" si="56"/>
        <v>77993331</v>
      </c>
      <c r="Y63" s="167">
        <f t="shared" si="57"/>
        <v>0.98829855080814533</v>
      </c>
      <c r="Z63" s="165">
        <f>'2019 RAW DATA'!N31</f>
        <v>74824663</v>
      </c>
      <c r="AA63" s="165">
        <f>'2019 RAW DATA'!M31</f>
        <v>1278042</v>
      </c>
      <c r="AB63" s="165">
        <f t="shared" si="58"/>
        <v>76102705</v>
      </c>
      <c r="AC63" s="239">
        <f t="shared" si="59"/>
        <v>0.98320635252058386</v>
      </c>
      <c r="AD63" s="239"/>
      <c r="AE63" s="239"/>
      <c r="AF63" s="239"/>
      <c r="AG63" s="464">
        <v>1248261</v>
      </c>
      <c r="AH63" s="339">
        <v>0.02</v>
      </c>
      <c r="AI63" s="260">
        <f t="shared" si="122"/>
        <v>76321156.260000005</v>
      </c>
      <c r="AJ63" s="116">
        <f t="shared" si="60"/>
        <v>1273226.22</v>
      </c>
      <c r="AK63" s="345">
        <f t="shared" si="61"/>
        <v>75047930.040000007</v>
      </c>
      <c r="AL63" s="345">
        <f>AA63*(100%+AH63)+AJ63</f>
        <v>2576829.06</v>
      </c>
      <c r="AM63" s="345">
        <f>AB63*(100%+AH63)^1</f>
        <v>77624759.099999994</v>
      </c>
      <c r="AN63" s="349">
        <f t="shared" si="41"/>
        <v>0.96680403147299443</v>
      </c>
      <c r="AO63" s="173">
        <f>'2020 RAW DATA'!N31</f>
        <v>82570974</v>
      </c>
      <c r="AP63" s="172">
        <f>'2020 RAW DATA'!M31</f>
        <v>1028639</v>
      </c>
      <c r="AQ63" s="172">
        <f t="shared" si="62"/>
        <v>83599613</v>
      </c>
      <c r="AR63" s="167">
        <f t="shared" si="63"/>
        <v>0.98769564878248894</v>
      </c>
      <c r="AS63" s="257">
        <f t="shared" si="64"/>
        <v>76548888.640800014</v>
      </c>
      <c r="AT63" s="256">
        <f t="shared" si="65"/>
        <v>1298690.7444</v>
      </c>
      <c r="AU63" s="354">
        <f t="shared" si="66"/>
        <v>76523120.350200012</v>
      </c>
      <c r="AV63" s="257">
        <f t="shared" si="67"/>
        <v>2654133.9317999999</v>
      </c>
      <c r="AW63" s="354">
        <f>AB63*(100%+AH63)^2</f>
        <v>79177254.282000005</v>
      </c>
      <c r="AX63" s="261">
        <f t="shared" si="95"/>
        <v>0.966478580801161</v>
      </c>
      <c r="AY63" s="173">
        <f>'2021 RAW Data'!N31</f>
        <v>83651315</v>
      </c>
      <c r="AZ63" s="172">
        <f>'2021 RAW Data'!M31</f>
        <v>1745010</v>
      </c>
      <c r="BA63" s="172">
        <f t="shared" si="97"/>
        <v>85396325</v>
      </c>
      <c r="BB63" s="167">
        <f t="shared" si="68"/>
        <v>0.97956574829186149</v>
      </c>
      <c r="BC63" s="257">
        <f t="shared" si="69"/>
        <v>78053582.757204011</v>
      </c>
      <c r="BD63" s="256">
        <f t="shared" si="70"/>
        <v>1324664.559288</v>
      </c>
      <c r="BE63" s="354">
        <f t="shared" si="71"/>
        <v>78027041.417885989</v>
      </c>
      <c r="BF63" s="257">
        <f t="shared" si="72"/>
        <v>2733757.9497540002</v>
      </c>
      <c r="BG63" s="257">
        <f>AB63*(100%+AH63)^3</f>
        <v>80760799.367639989</v>
      </c>
      <c r="BH63" s="261">
        <f t="shared" si="73"/>
        <v>0.96614993943646643</v>
      </c>
      <c r="BI63" s="260">
        <f>BE63*(100%+AH63)</f>
        <v>79587582.246243715</v>
      </c>
      <c r="BJ63" s="256">
        <f t="shared" si="75"/>
        <v>1351157.8504737599</v>
      </c>
      <c r="BK63" s="257">
        <f t="shared" si="120"/>
        <v>79560244.666746169</v>
      </c>
      <c r="BL63" s="257">
        <f t="shared" si="76"/>
        <v>2815770.6882466204</v>
      </c>
      <c r="BM63" s="257">
        <f t="shared" si="96"/>
        <v>82376015.354992792</v>
      </c>
      <c r="BN63" s="261">
        <f t="shared" si="77"/>
        <v>0.96581807609760817</v>
      </c>
      <c r="BO63" s="260">
        <f t="shared" si="78"/>
        <v>81151449.560081095</v>
      </c>
      <c r="BP63" s="256">
        <f t="shared" si="79"/>
        <v>1378181.0074832353</v>
      </c>
      <c r="BQ63" s="257">
        <f t="shared" si="121"/>
        <v>81123291.853198633</v>
      </c>
      <c r="BR63" s="257">
        <f t="shared" si="80"/>
        <v>2900243.8088940191</v>
      </c>
      <c r="BS63" s="257">
        <f t="shared" si="81"/>
        <v>84023535.662092656</v>
      </c>
      <c r="BT63" s="261">
        <f t="shared" si="82"/>
        <v>0.96548295919660432</v>
      </c>
      <c r="BU63" s="260">
        <f t="shared" si="83"/>
        <v>82745757.690262601</v>
      </c>
      <c r="BV63" s="256">
        <f t="shared" si="84"/>
        <v>1405744.6276328999</v>
      </c>
      <c r="BW63" s="257">
        <f t="shared" si="85"/>
        <v>82716755.252173677</v>
      </c>
      <c r="BX63" s="257">
        <f t="shared" si="86"/>
        <v>2987251.1231608395</v>
      </c>
      <c r="BY63" s="257">
        <f t="shared" si="87"/>
        <v>85704006.375334516</v>
      </c>
      <c r="BZ63" s="261">
        <f t="shared" si="88"/>
        <v>0.96514455683578682</v>
      </c>
      <c r="CA63" s="260">
        <f t="shared" si="89"/>
        <v>84371090.357217148</v>
      </c>
      <c r="CB63" s="256">
        <f t="shared" si="90"/>
        <v>1433859.5201855577</v>
      </c>
      <c r="CC63" s="257">
        <f t="shared" si="91"/>
        <v>84341217.845985532</v>
      </c>
      <c r="CD63" s="257">
        <f t="shared" si="92"/>
        <v>3076868.6568556647</v>
      </c>
      <c r="CE63" s="257">
        <f t="shared" si="93"/>
        <v>87418086.50284119</v>
      </c>
      <c r="CF63" s="261">
        <f t="shared" si="94"/>
        <v>0.9648028368047652</v>
      </c>
    </row>
    <row r="64" spans="1:84" ht="15" thickBot="1" x14ac:dyDescent="0.4">
      <c r="A64" s="57" t="s">
        <v>100</v>
      </c>
      <c r="B64" s="314">
        <f>SUM(B62:B63)</f>
        <v>278957054.18821913</v>
      </c>
      <c r="C64" s="312">
        <f>SUM(C62:C63)</f>
        <v>186712813.11726025</v>
      </c>
      <c r="D64" s="312">
        <f>SUM(D62:D63)</f>
        <v>465669867.30547953</v>
      </c>
      <c r="E64" s="168">
        <f t="shared" si="47"/>
        <v>0.59904467472279721</v>
      </c>
      <c r="F64" s="174">
        <f>SUM(F62:F63)</f>
        <v>286834748.33801395</v>
      </c>
      <c r="G64" s="296">
        <f>SUM(G62:G63)</f>
        <v>192531468.18005985</v>
      </c>
      <c r="H64" s="296">
        <f>SUM(H62:H63)</f>
        <v>479366216.51807398</v>
      </c>
      <c r="I64" s="168">
        <f t="shared" si="49"/>
        <v>0.59836245954391143</v>
      </c>
      <c r="J64" s="174">
        <f>SUM(J62:J63)</f>
        <v>321595892.2438513</v>
      </c>
      <c r="K64" s="296">
        <f>SUM(K62:K63)</f>
        <v>220151597.33646536</v>
      </c>
      <c r="L64" s="296">
        <f>SUM(L62:L63)</f>
        <v>541747489.58031654</v>
      </c>
      <c r="M64" s="168">
        <f t="shared" si="51"/>
        <v>0.59362691739095408</v>
      </c>
      <c r="N64" s="174">
        <f>SUM(N62:N63)</f>
        <v>348303892</v>
      </c>
      <c r="O64" s="296">
        <f>SUM(O62:O63)</f>
        <v>85350124</v>
      </c>
      <c r="P64" s="296">
        <f>SUM(P62:P63)</f>
        <v>433654016</v>
      </c>
      <c r="Q64" s="168">
        <f t="shared" si="53"/>
        <v>0.80318382661997534</v>
      </c>
      <c r="R64" s="241">
        <f>SUM(R62:R63)</f>
        <v>344073590</v>
      </c>
      <c r="S64" s="242">
        <f>SUM(S62:S63)</f>
        <v>75897926</v>
      </c>
      <c r="T64" s="242">
        <f t="shared" si="54"/>
        <v>419971516</v>
      </c>
      <c r="U64" s="243">
        <f t="shared" si="55"/>
        <v>0.81927839601388586</v>
      </c>
      <c r="V64" s="242">
        <f>SUM(V62:V63)</f>
        <v>357308435</v>
      </c>
      <c r="W64" s="242">
        <f>SUM(W62:W63)</f>
        <v>70868889</v>
      </c>
      <c r="X64" s="242">
        <f t="shared" si="56"/>
        <v>428177324</v>
      </c>
      <c r="Y64" s="243">
        <f t="shared" si="57"/>
        <v>0.83448705704928927</v>
      </c>
      <c r="Z64" s="242">
        <f>SUM(Z62:Z63)</f>
        <v>352187749</v>
      </c>
      <c r="AA64" s="242">
        <f>SUM(AA62:AA63)</f>
        <v>65738626</v>
      </c>
      <c r="AB64" s="242">
        <f t="shared" si="58"/>
        <v>417926375</v>
      </c>
      <c r="AC64" s="244">
        <f t="shared" si="59"/>
        <v>0.8427028540613164</v>
      </c>
      <c r="AD64" s="244"/>
      <c r="AE64" s="244"/>
      <c r="AF64" s="244"/>
      <c r="AG64" s="465">
        <f>SUM(AG62:AG63)</f>
        <v>36248663</v>
      </c>
      <c r="AH64" s="340">
        <v>0.02</v>
      </c>
      <c r="AI64" s="262">
        <f t="shared" si="122"/>
        <v>359231503.98000002</v>
      </c>
      <c r="AJ64" s="117">
        <f t="shared" si="60"/>
        <v>36973636.259999998</v>
      </c>
      <c r="AK64" s="351">
        <f t="shared" si="61"/>
        <v>322257867.72000003</v>
      </c>
      <c r="AL64" s="351">
        <f>AA64*(100%+AH64)+AJ64</f>
        <v>104027034.78</v>
      </c>
      <c r="AM64" s="351">
        <f>AB64*(100%+AH64)^1</f>
        <v>426284902.5</v>
      </c>
      <c r="AN64" s="350">
        <f t="shared" si="41"/>
        <v>0.75596828747647249</v>
      </c>
      <c r="AO64" s="174">
        <f>SUM(AO62:AO63)</f>
        <v>495162504</v>
      </c>
      <c r="AP64" s="296">
        <f>SUM(AP62:AP63)</f>
        <v>43625372</v>
      </c>
      <c r="AQ64" s="296">
        <f t="shared" si="62"/>
        <v>538787876</v>
      </c>
      <c r="AR64" s="168">
        <f t="shared" si="63"/>
        <v>0.91903052399048413</v>
      </c>
      <c r="AS64" s="308">
        <f t="shared" si="64"/>
        <v>328703025.07440001</v>
      </c>
      <c r="AT64" s="266">
        <f t="shared" si="65"/>
        <v>37713108.985200003</v>
      </c>
      <c r="AU64" s="356">
        <f t="shared" si="66"/>
        <v>327662754.72659999</v>
      </c>
      <c r="AV64" s="308">
        <f t="shared" si="67"/>
        <v>107147845.82340001</v>
      </c>
      <c r="AW64" s="356">
        <f>AB64*(100%+AH64)^2</f>
        <v>434810600.55000001</v>
      </c>
      <c r="AX64" s="267">
        <f t="shared" si="95"/>
        <v>0.75357581970663379</v>
      </c>
      <c r="AY64" s="174">
        <f>SUM(AY62:AY63)</f>
        <v>475547021</v>
      </c>
      <c r="AZ64" s="296">
        <f>SUM(AZ62:AZ63)</f>
        <v>48450007</v>
      </c>
      <c r="BA64" s="296">
        <f t="shared" si="97"/>
        <v>523997028</v>
      </c>
      <c r="BB64" s="168">
        <f t="shared" si="68"/>
        <v>0.90753763015617717</v>
      </c>
      <c r="BC64" s="357">
        <f t="shared" si="69"/>
        <v>334216009.821132</v>
      </c>
      <c r="BD64" s="358">
        <f t="shared" si="70"/>
        <v>38467371.164903998</v>
      </c>
      <c r="BE64" s="359">
        <f t="shared" si="71"/>
        <v>333144531.36289799</v>
      </c>
      <c r="BF64" s="357">
        <f t="shared" si="72"/>
        <v>110362281.19810201</v>
      </c>
      <c r="BG64" s="357">
        <f>AB64*(100%+AH64)^3</f>
        <v>443506812.56099999</v>
      </c>
      <c r="BH64" s="360">
        <f t="shared" si="73"/>
        <v>0.75115989637042435</v>
      </c>
      <c r="BI64" s="262">
        <f t="shared" si="74"/>
        <v>339807421.99015594</v>
      </c>
      <c r="BJ64" s="266">
        <f t="shared" si="75"/>
        <v>39236718.588202082</v>
      </c>
      <c r="BK64" s="308">
        <f t="shared" si="120"/>
        <v>338703799.17817491</v>
      </c>
      <c r="BL64" s="308">
        <f t="shared" si="76"/>
        <v>113673149.63404508</v>
      </c>
      <c r="BM64" s="308">
        <f t="shared" si="96"/>
        <v>452376948.81221998</v>
      </c>
      <c r="BN64" s="267">
        <f t="shared" si="77"/>
        <v>0.74872028751131092</v>
      </c>
      <c r="BO64" s="262">
        <f t="shared" si="78"/>
        <v>345477875.1617384</v>
      </c>
      <c r="BP64" s="266">
        <f t="shared" si="79"/>
        <v>40021452.959966123</v>
      </c>
      <c r="BQ64" s="308">
        <f t="shared" si="121"/>
        <v>344341143.665398</v>
      </c>
      <c r="BR64" s="308">
        <f t="shared" si="80"/>
        <v>117083344.12306644</v>
      </c>
      <c r="BS64" s="308">
        <f t="shared" si="81"/>
        <v>461424487.78846443</v>
      </c>
      <c r="BT64" s="267">
        <f t="shared" si="82"/>
        <v>0.74625676091828452</v>
      </c>
      <c r="BU64" s="262">
        <f t="shared" si="83"/>
        <v>351227966.53870595</v>
      </c>
      <c r="BV64" s="266">
        <f>+AG64*((100%+AH64)^6)</f>
        <v>40821882.019165449</v>
      </c>
      <c r="BW64" s="308">
        <f t="shared" si="85"/>
        <v>350057133.09747529</v>
      </c>
      <c r="BX64" s="308">
        <f t="shared" si="86"/>
        <v>120595844.44675843</v>
      </c>
      <c r="BY64" s="308">
        <f t="shared" si="87"/>
        <v>470652977.54423374</v>
      </c>
      <c r="BZ64" s="267">
        <f t="shared" si="88"/>
        <v>0.74376908210375792</v>
      </c>
      <c r="CA64" s="262">
        <f t="shared" si="89"/>
        <v>357058275.75942481</v>
      </c>
      <c r="CB64" s="266">
        <f t="shared" si="90"/>
        <v>41638319.659548745</v>
      </c>
      <c r="CC64" s="308">
        <f t="shared" si="91"/>
        <v>355852317.31495708</v>
      </c>
      <c r="CD64" s="308">
        <f>BX64*((100%+(AH64*1.5)))</f>
        <v>124213719.78016119</v>
      </c>
      <c r="CE64" s="308">
        <f>AB64*(100%+AH64)^7</f>
        <v>480066037.09511828</v>
      </c>
      <c r="CF64" s="267">
        <f t="shared" si="94"/>
        <v>0.74125701428124557</v>
      </c>
    </row>
    <row r="65" spans="2:47" s="32" customFormat="1" x14ac:dyDescent="0.35">
      <c r="B65" s="85"/>
      <c r="C65" s="85"/>
      <c r="D65" s="85"/>
      <c r="M65" s="62"/>
      <c r="S65" s="63"/>
      <c r="AU65" s="240"/>
    </row>
  </sheetData>
  <mergeCells count="16">
    <mergeCell ref="BU34:BZ34"/>
    <mergeCell ref="CA34:CF34"/>
    <mergeCell ref="BI34:BN34"/>
    <mergeCell ref="BO34:BT34"/>
    <mergeCell ref="B34:E34"/>
    <mergeCell ref="F34:I34"/>
    <mergeCell ref="J34:M34"/>
    <mergeCell ref="N34:Q34"/>
    <mergeCell ref="R34:U34"/>
    <mergeCell ref="AS34:AX34"/>
    <mergeCell ref="BC34:BH34"/>
    <mergeCell ref="AI34:AN34"/>
    <mergeCell ref="V34:Y34"/>
    <mergeCell ref="Z34:AH34"/>
    <mergeCell ref="AO34:AR34"/>
    <mergeCell ref="AY34:BB34"/>
  </mergeCells>
  <phoneticPr fontId="32" type="noConversion"/>
  <pageMargins left="0.7" right="0.7" top="0.75" bottom="0.75" header="0.3" footer="0.3"/>
  <pageSetup scale="80" fitToHeight="0" orientation="landscape" r:id="rId1"/>
  <rowBreaks count="1" manualBreakCount="1">
    <brk id="32" max="45" man="1"/>
  </rowBreaks>
  <ignoredErrors>
    <ignoredError sqref="BH6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00B0F0"/>
  </sheetPr>
  <dimension ref="A1:AX65"/>
  <sheetViews>
    <sheetView zoomScale="70" zoomScaleNormal="70" workbookViewId="0">
      <pane xSplit="1" topLeftCell="K1" activePane="topRight" state="frozen"/>
      <selection pane="topRight" activeCell="W5" sqref="W5"/>
    </sheetView>
  </sheetViews>
  <sheetFormatPr defaultRowHeight="14.5" x14ac:dyDescent="0.35"/>
  <cols>
    <col min="1" max="1" width="23.26953125" bestFit="1" customWidth="1"/>
    <col min="2" max="2" width="20.7265625" style="50" customWidth="1"/>
    <col min="3" max="3" width="19.26953125" customWidth="1"/>
    <col min="4" max="4" width="18" style="48" customWidth="1"/>
    <col min="5" max="5" width="20.26953125" customWidth="1"/>
    <col min="6" max="6" width="22.7265625" customWidth="1"/>
    <col min="7" max="7" width="19.26953125" customWidth="1"/>
    <col min="8" max="8" width="21.26953125" customWidth="1"/>
    <col min="9" max="9" width="18.7265625" customWidth="1"/>
    <col min="10" max="10" width="20.26953125" customWidth="1"/>
    <col min="11" max="11" width="23.26953125" customWidth="1"/>
    <col min="12" max="12" width="24.7265625" customWidth="1"/>
    <col min="13" max="13" width="24" customWidth="1"/>
    <col min="14" max="14" width="23.7265625" customWidth="1"/>
    <col min="15" max="15" width="14.453125" style="19" bestFit="1" customWidth="1"/>
    <col min="16" max="16" width="13.7265625" style="19" customWidth="1"/>
    <col min="17" max="17" width="14.26953125" style="19" bestFit="1" customWidth="1"/>
    <col min="18" max="18" width="13" customWidth="1"/>
    <col min="19" max="20" width="15.453125" bestFit="1" customWidth="1"/>
    <col min="21" max="21" width="14.453125" bestFit="1" customWidth="1"/>
    <col min="22" max="22" width="15.7265625" customWidth="1"/>
    <col min="23" max="23" width="15.26953125" customWidth="1"/>
    <col min="24" max="24" width="15.453125" customWidth="1"/>
    <col min="25" max="26" width="18.7265625" bestFit="1" customWidth="1"/>
    <col min="27" max="27" width="14.26953125" bestFit="1" customWidth="1"/>
    <col min="28" max="28" width="14.453125" bestFit="1" customWidth="1"/>
    <col min="29" max="29" width="13.7265625" bestFit="1" customWidth="1"/>
    <col min="30" max="30" width="14.26953125" bestFit="1" customWidth="1"/>
    <col min="31" max="31" width="14.453125" customWidth="1"/>
    <col min="32" max="32" width="13.7265625" customWidth="1"/>
    <col min="33" max="37" width="16.26953125" customWidth="1"/>
    <col min="38" max="38" width="18.453125" customWidth="1"/>
    <col min="39" max="39" width="16.26953125" customWidth="1"/>
    <col min="40" max="40" width="14.7265625" bestFit="1" customWidth="1"/>
    <col min="41" max="41" width="16.26953125" customWidth="1"/>
    <col min="42" max="42" width="15.453125" customWidth="1"/>
    <col min="43" max="43" width="15" customWidth="1"/>
    <col min="44" max="44" width="13.7265625" customWidth="1"/>
    <col min="45" max="45" width="14.7265625" customWidth="1"/>
    <col min="46" max="46" width="15.453125" customWidth="1"/>
    <col min="47" max="47" width="16.7265625" customWidth="1"/>
    <col min="48" max="48" width="16.54296875" customWidth="1"/>
    <col min="49" max="49" width="14.26953125" customWidth="1"/>
    <col min="50" max="50" width="17.54296875" customWidth="1"/>
  </cols>
  <sheetData>
    <row r="1" spans="1:44" s="32" customFormat="1" ht="15" thickBot="1" x14ac:dyDescent="0.4">
      <c r="B1" s="49"/>
      <c r="D1" s="47"/>
      <c r="M1" s="35"/>
      <c r="N1" s="35"/>
    </row>
    <row r="2" spans="1:44" ht="29.15" customHeight="1" thickBot="1" x14ac:dyDescent="0.4">
      <c r="B2" s="405" t="s">
        <v>191</v>
      </c>
      <c r="C2" s="405"/>
      <c r="D2" s="405"/>
      <c r="E2" s="405"/>
      <c r="F2" s="405"/>
      <c r="G2" s="405"/>
      <c r="H2" s="405"/>
      <c r="I2" s="405"/>
      <c r="L2" s="405"/>
      <c r="O2" s="665" t="s">
        <v>192</v>
      </c>
      <c r="P2" s="666"/>
      <c r="Q2" s="666"/>
      <c r="R2" s="667"/>
      <c r="S2" s="668" t="s">
        <v>122</v>
      </c>
      <c r="T2" s="669"/>
      <c r="U2" s="669"/>
      <c r="V2" s="669"/>
      <c r="W2" s="669"/>
      <c r="X2" s="670"/>
      <c r="Y2" s="665" t="s">
        <v>193</v>
      </c>
      <c r="Z2" s="666"/>
      <c r="AA2" s="666"/>
      <c r="AB2" s="667"/>
      <c r="AC2" s="650" t="s">
        <v>194</v>
      </c>
      <c r="AD2" s="651"/>
      <c r="AE2" s="651"/>
      <c r="AF2" s="652"/>
      <c r="AG2" s="650" t="s">
        <v>195</v>
      </c>
      <c r="AH2" s="651"/>
      <c r="AI2" s="651"/>
      <c r="AJ2" s="652"/>
      <c r="AK2" s="662" t="s">
        <v>196</v>
      </c>
      <c r="AL2" s="663"/>
      <c r="AM2" s="663"/>
      <c r="AN2" s="664"/>
      <c r="AO2" s="665" t="s">
        <v>197</v>
      </c>
      <c r="AP2" s="666"/>
      <c r="AQ2" s="666"/>
      <c r="AR2" s="667"/>
    </row>
    <row r="3" spans="1:44" ht="45.4" customHeight="1" thickBot="1" x14ac:dyDescent="0.4">
      <c r="A3" s="150" t="s">
        <v>128</v>
      </c>
      <c r="B3" s="160" t="s">
        <v>198</v>
      </c>
      <c r="C3" s="160" t="s">
        <v>199</v>
      </c>
      <c r="D3" s="160" t="s">
        <v>200</v>
      </c>
      <c r="E3" s="160" t="s">
        <v>201</v>
      </c>
      <c r="F3" s="160" t="s">
        <v>202</v>
      </c>
      <c r="G3" s="160" t="s">
        <v>203</v>
      </c>
      <c r="H3" s="160" t="s">
        <v>204</v>
      </c>
      <c r="I3" s="160" t="s">
        <v>205</v>
      </c>
      <c r="J3" s="160" t="s">
        <v>206</v>
      </c>
      <c r="K3" s="269" t="s">
        <v>207</v>
      </c>
      <c r="L3" s="269" t="s">
        <v>208</v>
      </c>
      <c r="M3" s="263" t="s">
        <v>209</v>
      </c>
      <c r="N3" s="263" t="s">
        <v>210</v>
      </c>
      <c r="O3" s="271" t="s">
        <v>211</v>
      </c>
      <c r="P3" s="271" t="s">
        <v>212</v>
      </c>
      <c r="Q3" s="271" t="s">
        <v>213</v>
      </c>
      <c r="R3" s="271" t="s">
        <v>214</v>
      </c>
      <c r="S3" s="250" t="s">
        <v>215</v>
      </c>
      <c r="T3" s="250" t="s">
        <v>216</v>
      </c>
      <c r="U3" s="477" t="s">
        <v>217</v>
      </c>
      <c r="V3" s="477" t="s">
        <v>218</v>
      </c>
      <c r="W3" s="152" t="s">
        <v>219</v>
      </c>
      <c r="X3" s="152" t="s">
        <v>220</v>
      </c>
      <c r="Y3" s="269" t="str">
        <f>+S3</f>
        <v>2020 TTTR</v>
      </c>
      <c r="Z3" s="269" t="str">
        <f>+T3</f>
        <v>2022 TTTR</v>
      </c>
      <c r="AA3" s="269" t="str">
        <f>+W3</f>
        <v>2024 TTTR</v>
      </c>
      <c r="AB3" s="269" t="str">
        <f>+X3</f>
        <v>2026 TTTR</v>
      </c>
      <c r="AC3" s="425" t="s">
        <v>221</v>
      </c>
      <c r="AD3" s="425" t="s">
        <v>222</v>
      </c>
      <c r="AE3" s="425" t="s">
        <v>223</v>
      </c>
      <c r="AF3" s="425" t="s">
        <v>224</v>
      </c>
      <c r="AG3" s="442" t="s">
        <v>225</v>
      </c>
      <c r="AH3" s="442" t="s">
        <v>226</v>
      </c>
      <c r="AI3" s="442" t="s">
        <v>227</v>
      </c>
      <c r="AJ3" s="442" t="s">
        <v>228</v>
      </c>
      <c r="AK3" s="432" t="s">
        <v>229</v>
      </c>
      <c r="AL3" s="432" t="s">
        <v>230</v>
      </c>
      <c r="AM3" s="432" t="s">
        <v>231</v>
      </c>
      <c r="AN3" s="432" t="s">
        <v>232</v>
      </c>
      <c r="AO3" s="432" t="s">
        <v>229</v>
      </c>
      <c r="AP3" s="432" t="s">
        <v>230</v>
      </c>
      <c r="AQ3" s="432" t="s">
        <v>231</v>
      </c>
      <c r="AR3" s="432" t="s">
        <v>232</v>
      </c>
    </row>
    <row r="4" spans="1:44" x14ac:dyDescent="0.35">
      <c r="A4" s="55" t="s">
        <v>71</v>
      </c>
      <c r="B4" s="177">
        <f>+D36</f>
        <v>2.1430332808893571</v>
      </c>
      <c r="C4" s="177">
        <f>+G36</f>
        <v>2.949093452829171</v>
      </c>
      <c r="D4" s="177">
        <f>+J36</f>
        <v>2.6028129539253984</v>
      </c>
      <c r="E4" s="406">
        <f>+M36</f>
        <v>1.1026894865525674</v>
      </c>
      <c r="F4" s="406">
        <f>+P36</f>
        <v>1.1018860774966386</v>
      </c>
      <c r="G4" s="406">
        <f>+S36</f>
        <v>1.1113284439555067</v>
      </c>
      <c r="H4" s="406">
        <f>+V36</f>
        <v>1.0897608935947405</v>
      </c>
      <c r="I4" s="406">
        <f>+AC36</f>
        <v>1.0730430809068066</v>
      </c>
      <c r="J4" s="406">
        <f>+AI36</f>
        <v>1.0924623066617947</v>
      </c>
      <c r="K4" s="409">
        <f>Z36</f>
        <v>1.1006585025306879</v>
      </c>
      <c r="L4" s="407">
        <f>+AL36</f>
        <v>1.1227817384315548</v>
      </c>
      <c r="M4" s="412">
        <f>AR36</f>
        <v>1.1453496513740289</v>
      </c>
      <c r="N4" s="409">
        <f>AX36</f>
        <v>1.1683711793666469</v>
      </c>
      <c r="O4" s="415">
        <f>+K4-H4</f>
        <v>1.0897608935947378E-2</v>
      </c>
      <c r="P4" s="379">
        <f>+L4-H4</f>
        <v>3.3020844836814334E-2</v>
      </c>
      <c r="Q4" s="418">
        <f>M4-H4</f>
        <v>5.55887577792884E-2</v>
      </c>
      <c r="R4" s="419">
        <f>N4-H4</f>
        <v>7.861028577190643E-2</v>
      </c>
      <c r="S4" s="468">
        <v>1.25</v>
      </c>
      <c r="T4" s="468">
        <v>1.3</v>
      </c>
      <c r="U4" s="484">
        <v>0</v>
      </c>
      <c r="V4" s="484">
        <v>0.03</v>
      </c>
      <c r="W4" s="421">
        <f>+T4</f>
        <v>1.3</v>
      </c>
      <c r="X4" s="421">
        <f>+W4+V4</f>
        <v>1.33</v>
      </c>
      <c r="Y4" s="415">
        <f t="shared" ref="Y4:Z8" si="0">+K4-S4</f>
        <v>-0.14934149746931213</v>
      </c>
      <c r="Z4" s="415">
        <f t="shared" si="0"/>
        <v>-0.17721826156844522</v>
      </c>
      <c r="AA4" s="415">
        <f t="shared" ref="AA4:AB8" si="1">+M4-W4</f>
        <v>-0.15465034862597116</v>
      </c>
      <c r="AB4" s="415">
        <f t="shared" si="1"/>
        <v>-0.16162882063335315</v>
      </c>
      <c r="AC4" s="426">
        <f>X36</f>
        <v>34.378</v>
      </c>
      <c r="AD4" s="426">
        <f>AJ36</f>
        <v>34.378</v>
      </c>
      <c r="AE4" s="429">
        <f t="shared" ref="AE4:AE32" si="2">AP36</f>
        <v>34.378</v>
      </c>
      <c r="AF4" s="429">
        <f t="shared" ref="AF4:AF32" si="3">AV36</f>
        <v>34.378</v>
      </c>
      <c r="AG4" s="426">
        <f t="shared" ref="AG4:AH8" si="4">AC4*S4</f>
        <v>42.972499999999997</v>
      </c>
      <c r="AH4" s="426">
        <f t="shared" si="4"/>
        <v>44.691400000000002</v>
      </c>
      <c r="AI4" s="426">
        <f t="shared" ref="AI4:AJ8" si="5">AE4*W4</f>
        <v>44.691400000000002</v>
      </c>
      <c r="AJ4" s="426">
        <f t="shared" si="5"/>
        <v>45.722740000000002</v>
      </c>
      <c r="AK4" s="433">
        <f>(S4-1)/(H4-1)</f>
        <v>2.78517726359454</v>
      </c>
      <c r="AL4" s="433">
        <f>(T4-1)/(H4-1)</f>
        <v>3.3422127163134485</v>
      </c>
      <c r="AM4" s="433">
        <f>(W4-1)/(H4-1)</f>
        <v>3.3422127163134485</v>
      </c>
      <c r="AN4" s="433">
        <f>(X4-1)/(H4-1)</f>
        <v>3.6764339879447938</v>
      </c>
      <c r="AO4" s="439">
        <f>S4-H4</f>
        <v>0.16023910640525951</v>
      </c>
      <c r="AP4" s="436">
        <f>T4-H4</f>
        <v>0.21023910640525956</v>
      </c>
      <c r="AQ4" s="439">
        <f>W4-H4</f>
        <v>0.21023910640525956</v>
      </c>
      <c r="AR4" s="459">
        <f>X4-H4</f>
        <v>0.24023910640525958</v>
      </c>
    </row>
    <row r="5" spans="1:44" x14ac:dyDescent="0.35">
      <c r="A5" s="56" t="s">
        <v>72</v>
      </c>
      <c r="B5" s="177">
        <f t="shared" ref="B5:B28" si="6">+D37</f>
        <v>1.6704678033834817</v>
      </c>
      <c r="C5" s="177">
        <f t="shared" ref="C5:C28" si="7">+G37</f>
        <v>1.669825800427631</v>
      </c>
      <c r="D5" s="177">
        <f t="shared" ref="D5:D28" si="8">+J37</f>
        <v>1.7109832724831318</v>
      </c>
      <c r="E5" s="177">
        <f t="shared" ref="E5:E28" si="9">+M37</f>
        <v>1.1855036855036853</v>
      </c>
      <c r="F5" s="177">
        <f t="shared" ref="F5:F28" si="10">+P37</f>
        <v>1.1860475201788767</v>
      </c>
      <c r="G5" s="177">
        <f t="shared" ref="G5:G28" si="11">+S37</f>
        <v>1.2288217940557213</v>
      </c>
      <c r="H5" s="177">
        <f t="shared" ref="H5:H32" si="12">+V37</f>
        <v>1.215663009812719</v>
      </c>
      <c r="I5" s="177">
        <f t="shared" ref="I5:I32" si="13">+AC37</f>
        <v>1.1366346849453808</v>
      </c>
      <c r="J5" s="177">
        <f t="shared" ref="J5:J32" si="14">+AI37</f>
        <v>1.1714458179976672</v>
      </c>
      <c r="K5" s="410">
        <f t="shared" ref="K5:K32" si="15">Z37</f>
        <v>1.2278196399108463</v>
      </c>
      <c r="L5" s="404">
        <f>+AL37</f>
        <v>1.2524988146730542</v>
      </c>
      <c r="M5" s="413">
        <f>AR37</f>
        <v>1.2776740408479828</v>
      </c>
      <c r="N5" s="410">
        <f t="shared" ref="N5:N31" si="16">AX37</f>
        <v>1.303355289069027</v>
      </c>
      <c r="O5" s="416">
        <f>+K5-H5</f>
        <v>1.2156630098127286E-2</v>
      </c>
      <c r="P5" s="379">
        <f>+L5-H5</f>
        <v>3.683580486033522E-2</v>
      </c>
      <c r="Q5" s="419">
        <f>M5-H5</f>
        <v>6.2011031035263731E-2</v>
      </c>
      <c r="R5" s="419">
        <f t="shared" ref="R5:R32" si="17">N5-H5</f>
        <v>8.7692279256307959E-2</v>
      </c>
      <c r="S5" s="469">
        <v>1.35</v>
      </c>
      <c r="T5" s="469">
        <v>1.4</v>
      </c>
      <c r="U5" s="485">
        <v>0</v>
      </c>
      <c r="V5" s="485">
        <v>0.03</v>
      </c>
      <c r="W5" s="422">
        <f>+T5</f>
        <v>1.4</v>
      </c>
      <c r="X5" s="422">
        <f>+W5+V5</f>
        <v>1.43</v>
      </c>
      <c r="Y5" s="416">
        <f t="shared" si="0"/>
        <v>-0.12218036008915378</v>
      </c>
      <c r="Z5" s="416">
        <f t="shared" si="0"/>
        <v>-0.14750118532694567</v>
      </c>
      <c r="AA5" s="416">
        <f t="shared" si="1"/>
        <v>-0.12232595915201716</v>
      </c>
      <c r="AB5" s="416">
        <f t="shared" si="1"/>
        <v>-0.12664471093097296</v>
      </c>
      <c r="AC5" s="427">
        <f>X37</f>
        <v>69.094000000000008</v>
      </c>
      <c r="AD5" s="427">
        <f>AJ37</f>
        <v>69.094000000000008</v>
      </c>
      <c r="AE5" s="430">
        <f t="shared" si="2"/>
        <v>69.094000000000008</v>
      </c>
      <c r="AF5" s="430">
        <f t="shared" si="3"/>
        <v>69.094000000000008</v>
      </c>
      <c r="AG5" s="427">
        <f t="shared" si="4"/>
        <v>93.276900000000012</v>
      </c>
      <c r="AH5" s="427">
        <f t="shared" si="4"/>
        <v>96.7316</v>
      </c>
      <c r="AI5" s="427">
        <f t="shared" si="5"/>
        <v>96.7316</v>
      </c>
      <c r="AJ5" s="427">
        <f t="shared" si="5"/>
        <v>98.804420000000007</v>
      </c>
      <c r="AK5" s="434">
        <f>(S5-1)/(H5-1)</f>
        <v>1.6229023248072947</v>
      </c>
      <c r="AL5" s="434">
        <f>(T5-1)/(H5-1)</f>
        <v>1.8547455140654787</v>
      </c>
      <c r="AM5" s="434">
        <f>(W5-1)/(H5-1)</f>
        <v>1.8547455140654787</v>
      </c>
      <c r="AN5" s="434">
        <f>(X5-1)/(H5-1)</f>
        <v>1.9938514276203898</v>
      </c>
      <c r="AO5" s="440">
        <f>S5-H5</f>
        <v>0.13433699018728107</v>
      </c>
      <c r="AP5" s="436">
        <f>T5-H5</f>
        <v>0.18433699018728089</v>
      </c>
      <c r="AQ5" s="440">
        <f>W5-H5</f>
        <v>0.18433699018728089</v>
      </c>
      <c r="AR5" s="436">
        <f>X5-H5</f>
        <v>0.21433699018728092</v>
      </c>
    </row>
    <row r="6" spans="1:44" x14ac:dyDescent="0.35">
      <c r="A6" s="56" t="s">
        <v>73</v>
      </c>
      <c r="B6" s="177">
        <f t="shared" si="6"/>
        <v>2.1739626563544476</v>
      </c>
      <c r="C6" s="177">
        <f t="shared" si="7"/>
        <v>2.5796823249484238</v>
      </c>
      <c r="D6" s="177">
        <f t="shared" si="8"/>
        <v>2.6404753558031624</v>
      </c>
      <c r="E6" s="177">
        <f t="shared" si="9"/>
        <v>1.7857889237199582</v>
      </c>
      <c r="F6" s="177">
        <f t="shared" si="10"/>
        <v>1.7745529614259614</v>
      </c>
      <c r="G6" s="177">
        <f t="shared" si="11"/>
        <v>1.8289537993887854</v>
      </c>
      <c r="H6" s="177">
        <f t="shared" si="12"/>
        <v>1.9303970519188483</v>
      </c>
      <c r="I6" s="177">
        <f t="shared" si="13"/>
        <v>1.9345806726266492</v>
      </c>
      <c r="J6" s="177">
        <f t="shared" si="14"/>
        <v>1.7116097957668848</v>
      </c>
      <c r="K6" s="410">
        <f t="shared" si="15"/>
        <v>1.9690049929572253</v>
      </c>
      <c r="L6" s="404">
        <f>+AL38</f>
        <v>2.0485527946726969</v>
      </c>
      <c r="M6" s="413">
        <f>AR38</f>
        <v>2.1313143275774742</v>
      </c>
      <c r="N6" s="410">
        <f t="shared" si="16"/>
        <v>2.2174194264116038</v>
      </c>
      <c r="O6" s="416">
        <f>+K6-H6</f>
        <v>3.8607941038377058E-2</v>
      </c>
      <c r="P6" s="379">
        <f>+L6-H6</f>
        <v>0.11815574275384866</v>
      </c>
      <c r="Q6" s="419">
        <f>M6-H6</f>
        <v>0.20091727565862594</v>
      </c>
      <c r="R6" s="419">
        <f t="shared" si="17"/>
        <v>0.28702237449275558</v>
      </c>
      <c r="S6" s="469">
        <v>2.1</v>
      </c>
      <c r="T6" s="469">
        <v>2.2000000000000002</v>
      </c>
      <c r="U6" s="485">
        <v>0</v>
      </c>
      <c r="V6" s="485">
        <v>0.05</v>
      </c>
      <c r="W6" s="422">
        <f t="shared" ref="W6:W8" si="18">+T6</f>
        <v>2.2000000000000002</v>
      </c>
      <c r="X6" s="422">
        <f t="shared" ref="X6:X8" si="19">+W6+V6</f>
        <v>2.25</v>
      </c>
      <c r="Y6" s="416">
        <f t="shared" si="0"/>
        <v>-0.13099500704277478</v>
      </c>
      <c r="Z6" s="416">
        <f t="shared" si="0"/>
        <v>-0.15144720532730327</v>
      </c>
      <c r="AA6" s="416">
        <f t="shared" si="1"/>
        <v>-6.868567242252599E-2</v>
      </c>
      <c r="AB6" s="416">
        <f t="shared" si="1"/>
        <v>-3.2580573588396167E-2</v>
      </c>
      <c r="AC6" s="427">
        <f>X38</f>
        <v>161.86799999999999</v>
      </c>
      <c r="AD6" s="427">
        <f>AJ38</f>
        <v>161.86799999999999</v>
      </c>
      <c r="AE6" s="430">
        <f t="shared" si="2"/>
        <v>161.86799999999999</v>
      </c>
      <c r="AF6" s="430">
        <f t="shared" si="3"/>
        <v>161.86799999999999</v>
      </c>
      <c r="AG6" s="427">
        <f t="shared" si="4"/>
        <v>339.9228</v>
      </c>
      <c r="AH6" s="427">
        <f t="shared" si="4"/>
        <v>356.1096</v>
      </c>
      <c r="AI6" s="427">
        <f t="shared" si="5"/>
        <v>356.1096</v>
      </c>
      <c r="AJ6" s="427">
        <f t="shared" si="5"/>
        <v>364.20299999999997</v>
      </c>
      <c r="AK6" s="434">
        <f>(S6-1)/(H6-1)</f>
        <v>1.1822909345331256</v>
      </c>
      <c r="AL6" s="434">
        <f>(T6-1)/(H6-1)</f>
        <v>1.2897719285815916</v>
      </c>
      <c r="AM6" s="434">
        <f>(W6-1)/(H6-1)</f>
        <v>1.2897719285815916</v>
      </c>
      <c r="AN6" s="434">
        <f>(X6-1)/(H6-1)</f>
        <v>1.3435124256058244</v>
      </c>
      <c r="AO6" s="440">
        <f>S6-H6</f>
        <v>0.16960294808115184</v>
      </c>
      <c r="AP6" s="436">
        <f>T6-H6</f>
        <v>0.26960294808115193</v>
      </c>
      <c r="AQ6" s="440">
        <f>W6-H6</f>
        <v>0.26960294808115193</v>
      </c>
      <c r="AR6" s="436">
        <f>X6-H6</f>
        <v>0.31960294808115175</v>
      </c>
    </row>
    <row r="7" spans="1:44" x14ac:dyDescent="0.35">
      <c r="A7" s="56" t="s">
        <v>74</v>
      </c>
      <c r="B7" s="177">
        <f t="shared" si="6"/>
        <v>1.6474301818782022</v>
      </c>
      <c r="C7" s="177">
        <f t="shared" si="7"/>
        <v>1.6049356958163468</v>
      </c>
      <c r="D7" s="177">
        <f t="shared" si="8"/>
        <v>1.2471064935379976</v>
      </c>
      <c r="E7" s="177">
        <f t="shared" si="9"/>
        <v>1.2535211267605635</v>
      </c>
      <c r="F7" s="177">
        <f t="shared" si="10"/>
        <v>1.265704462503277</v>
      </c>
      <c r="G7" s="177">
        <f t="shared" si="11"/>
        <v>1.237472875789823</v>
      </c>
      <c r="H7" s="177">
        <f t="shared" si="12"/>
        <v>1.2733144823088942</v>
      </c>
      <c r="I7" s="177">
        <f t="shared" si="13"/>
        <v>1.1491485305059523</v>
      </c>
      <c r="J7" s="177">
        <f t="shared" si="14"/>
        <v>1.3368526264224891</v>
      </c>
      <c r="K7" s="410">
        <f t="shared" si="15"/>
        <v>1.2987807719550721</v>
      </c>
      <c r="L7" s="404">
        <f>+AL39</f>
        <v>1.3512515151420568</v>
      </c>
      <c r="M7" s="413">
        <f>AR39</f>
        <v>1.4058420763537962</v>
      </c>
      <c r="N7" s="410">
        <f t="shared" si="16"/>
        <v>1.4626380962384893</v>
      </c>
      <c r="O7" s="416">
        <f>+K7-H7</f>
        <v>2.546628964617792E-2</v>
      </c>
      <c r="P7" s="379">
        <f>+L7-H7</f>
        <v>7.7937032833162556E-2</v>
      </c>
      <c r="Q7" s="419">
        <f>M7-H7</f>
        <v>0.132527594044902</v>
      </c>
      <c r="R7" s="419">
        <f t="shared" si="17"/>
        <v>0.18932361392959507</v>
      </c>
      <c r="S7" s="469">
        <v>1.45</v>
      </c>
      <c r="T7" s="469">
        <v>1.5</v>
      </c>
      <c r="U7" s="485">
        <v>0</v>
      </c>
      <c r="V7" s="485">
        <v>0.03</v>
      </c>
      <c r="W7" s="422">
        <f t="shared" si="18"/>
        <v>1.5</v>
      </c>
      <c r="X7" s="422">
        <f t="shared" si="19"/>
        <v>1.53</v>
      </c>
      <c r="Y7" s="416">
        <f t="shared" si="0"/>
        <v>-0.15121922804492782</v>
      </c>
      <c r="Z7" s="416">
        <f t="shared" si="0"/>
        <v>-0.14874848485794323</v>
      </c>
      <c r="AA7" s="416">
        <f t="shared" si="1"/>
        <v>-9.4157923646203789E-2</v>
      </c>
      <c r="AB7" s="416">
        <f t="shared" si="1"/>
        <v>-6.7361903761510744E-2</v>
      </c>
      <c r="AC7" s="427">
        <f>X39</f>
        <v>88.942999999999984</v>
      </c>
      <c r="AD7" s="427">
        <f>AJ39</f>
        <v>88.942999999999984</v>
      </c>
      <c r="AE7" s="430">
        <f t="shared" si="2"/>
        <v>88.942999999999984</v>
      </c>
      <c r="AF7" s="430">
        <f t="shared" si="3"/>
        <v>88.942999999999984</v>
      </c>
      <c r="AG7" s="427">
        <f t="shared" si="4"/>
        <v>128.96734999999998</v>
      </c>
      <c r="AH7" s="427">
        <f t="shared" si="4"/>
        <v>133.41449999999998</v>
      </c>
      <c r="AI7" s="427">
        <f t="shared" si="5"/>
        <v>133.41449999999998</v>
      </c>
      <c r="AJ7" s="427">
        <f t="shared" si="5"/>
        <v>136.08278999999999</v>
      </c>
      <c r="AK7" s="434">
        <f>(S7-1)/(H7-1)</f>
        <v>1.6464550147453201</v>
      </c>
      <c r="AL7" s="434">
        <f>(T7-1)/(H7-1)</f>
        <v>1.8293944608281336</v>
      </c>
      <c r="AM7" s="434">
        <f>(W7-1)/(H7-1)</f>
        <v>1.8293944608281336</v>
      </c>
      <c r="AN7" s="434">
        <f>(X7-1)/(H7-1)</f>
        <v>1.9391581284778217</v>
      </c>
      <c r="AO7" s="440">
        <f>S7-H7</f>
        <v>0.17668551769110574</v>
      </c>
      <c r="AP7" s="436">
        <f>T7-H7</f>
        <v>0.22668551769110579</v>
      </c>
      <c r="AQ7" s="440">
        <f>W7-H7</f>
        <v>0.22668551769110579</v>
      </c>
      <c r="AR7" s="436">
        <f>X7-H7</f>
        <v>0.25668551769110581</v>
      </c>
    </row>
    <row r="8" spans="1:44" x14ac:dyDescent="0.35">
      <c r="A8" s="56" t="s">
        <v>75</v>
      </c>
      <c r="B8" s="177"/>
      <c r="C8" s="177"/>
      <c r="D8" s="177"/>
      <c r="E8" s="177">
        <f>+M40</f>
        <v>1.3779527559055118</v>
      </c>
      <c r="F8" s="177">
        <f t="shared" si="10"/>
        <v>1.3052384397084185</v>
      </c>
      <c r="G8" s="177">
        <f t="shared" si="11"/>
        <v>1.434871633438265</v>
      </c>
      <c r="H8" s="177">
        <f t="shared" si="12"/>
        <v>1.4484308093364551</v>
      </c>
      <c r="I8" s="177">
        <f t="shared" si="13"/>
        <v>1.4909396734829869</v>
      </c>
      <c r="J8" s="177">
        <f t="shared" si="14"/>
        <v>1.4633959745119862</v>
      </c>
      <c r="K8" s="410">
        <f t="shared" si="15"/>
        <v>1.4773994255231842</v>
      </c>
      <c r="L8" s="404">
        <f>+AL40</f>
        <v>1.5370863623143207</v>
      </c>
      <c r="M8" s="413">
        <f>AR40</f>
        <v>1.5991846513518193</v>
      </c>
      <c r="N8" s="410">
        <f t="shared" si="16"/>
        <v>1.6637917112664324</v>
      </c>
      <c r="O8" s="416">
        <f>+K8-H8</f>
        <v>2.8968616186729079E-2</v>
      </c>
      <c r="P8" s="379">
        <f>+L8-H8</f>
        <v>8.8655552977865648E-2</v>
      </c>
      <c r="Q8" s="419">
        <f>M8-H8</f>
        <v>0.15075384201536424</v>
      </c>
      <c r="R8" s="419">
        <f t="shared" si="17"/>
        <v>0.21536090192997737</v>
      </c>
      <c r="S8" s="469">
        <v>1.6</v>
      </c>
      <c r="T8" s="469">
        <v>1.7</v>
      </c>
      <c r="U8" s="485">
        <v>0</v>
      </c>
      <c r="V8" s="485">
        <v>0.05</v>
      </c>
      <c r="W8" s="422">
        <f t="shared" si="18"/>
        <v>1.7</v>
      </c>
      <c r="X8" s="422">
        <f t="shared" si="19"/>
        <v>1.75</v>
      </c>
      <c r="Y8" s="416">
        <f t="shared" si="0"/>
        <v>-0.12260057447681594</v>
      </c>
      <c r="Z8" s="416">
        <f t="shared" si="0"/>
        <v>-0.16291363768567924</v>
      </c>
      <c r="AA8" s="416">
        <f t="shared" si="1"/>
        <v>-0.10081534864818065</v>
      </c>
      <c r="AB8" s="416">
        <f t="shared" si="1"/>
        <v>-8.6208288733567562E-2</v>
      </c>
      <c r="AC8" s="427">
        <f>X40</f>
        <v>41.429000000000002</v>
      </c>
      <c r="AD8" s="427">
        <f>AJ40</f>
        <v>41.429000000000002</v>
      </c>
      <c r="AE8" s="430">
        <f t="shared" si="2"/>
        <v>41.429000000000002</v>
      </c>
      <c r="AF8" s="430">
        <f t="shared" si="3"/>
        <v>41.429000000000002</v>
      </c>
      <c r="AG8" s="427">
        <f t="shared" si="4"/>
        <v>66.2864</v>
      </c>
      <c r="AH8" s="427">
        <f t="shared" si="4"/>
        <v>70.429299999999998</v>
      </c>
      <c r="AI8" s="427">
        <f t="shared" si="5"/>
        <v>70.429299999999998</v>
      </c>
      <c r="AJ8" s="427">
        <f t="shared" si="5"/>
        <v>72.500750000000011</v>
      </c>
      <c r="AK8" s="434">
        <f>(S8-1)/(H8-1)</f>
        <v>1.3379990569511104</v>
      </c>
      <c r="AL8" s="434">
        <f>(T8-1)/(H8-1)</f>
        <v>1.5609988997762951</v>
      </c>
      <c r="AM8" s="434">
        <f>(W8-1)/(H8-1)</f>
        <v>1.5609988997762951</v>
      </c>
      <c r="AN8" s="434">
        <f>(X8-1)/(H8-1)</f>
        <v>1.6724988211888878</v>
      </c>
      <c r="AO8" s="440">
        <f>S8-H8</f>
        <v>0.15156919066354502</v>
      </c>
      <c r="AP8" s="436">
        <f>T8-H8</f>
        <v>0.25156919066354488</v>
      </c>
      <c r="AQ8" s="440">
        <f>W8-H8</f>
        <v>0.25156919066354488</v>
      </c>
      <c r="AR8" s="436">
        <f>X8-H8</f>
        <v>0.30156919066354493</v>
      </c>
    </row>
    <row r="9" spans="1:44" x14ac:dyDescent="0.35">
      <c r="A9" s="56" t="s">
        <v>76</v>
      </c>
      <c r="B9" s="177"/>
      <c r="C9" s="177"/>
      <c r="D9" s="177"/>
      <c r="E9" s="177"/>
      <c r="F9" s="177"/>
      <c r="G9" s="177"/>
      <c r="H9" s="177"/>
      <c r="I9" s="177"/>
      <c r="J9" s="177"/>
      <c r="K9" s="410"/>
      <c r="L9" s="404"/>
      <c r="M9" s="413"/>
      <c r="N9" s="410"/>
      <c r="O9" s="416"/>
      <c r="P9" s="379"/>
      <c r="Q9" s="419"/>
      <c r="R9" s="419">
        <f t="shared" si="17"/>
        <v>0</v>
      </c>
      <c r="S9" s="469"/>
      <c r="T9" s="469"/>
      <c r="U9" s="485"/>
      <c r="V9" s="485"/>
      <c r="W9" s="422"/>
      <c r="X9" s="422"/>
      <c r="Y9" s="416"/>
      <c r="Z9" s="424"/>
      <c r="AA9" s="416"/>
      <c r="AB9" s="416"/>
      <c r="AC9" s="424"/>
      <c r="AD9" s="424"/>
      <c r="AE9" s="430">
        <f t="shared" si="2"/>
        <v>0</v>
      </c>
      <c r="AF9" s="430">
        <f t="shared" si="3"/>
        <v>0</v>
      </c>
      <c r="AG9" s="424"/>
      <c r="AH9" s="424"/>
      <c r="AI9" s="427">
        <f t="shared" ref="AI9:AI32" si="20">AE9*W9</f>
        <v>0</v>
      </c>
      <c r="AJ9" s="427">
        <f t="shared" ref="AJ9:AJ32" si="21">AF9*X9</f>
        <v>0</v>
      </c>
      <c r="AK9" s="424"/>
      <c r="AL9" s="424"/>
      <c r="AM9" s="434"/>
      <c r="AN9" s="434"/>
      <c r="AO9" s="424"/>
      <c r="AP9" s="437"/>
      <c r="AQ9" s="440"/>
      <c r="AR9" s="436"/>
    </row>
    <row r="10" spans="1:44" x14ac:dyDescent="0.35">
      <c r="A10" s="56" t="s">
        <v>77</v>
      </c>
      <c r="B10" s="177">
        <f t="shared" si="6"/>
        <v>1.1639011348178483</v>
      </c>
      <c r="C10" s="177">
        <f t="shared" si="7"/>
        <v>1.2206967594655289</v>
      </c>
      <c r="D10" s="177">
        <f t="shared" si="8"/>
        <v>1.2231530160146409</v>
      </c>
      <c r="E10" s="177">
        <f t="shared" si="9"/>
        <v>1.1548387096774193</v>
      </c>
      <c r="F10" s="177">
        <f t="shared" si="10"/>
        <v>1.1615278500780846</v>
      </c>
      <c r="G10" s="177">
        <f t="shared" si="11"/>
        <v>1.1874281352798262</v>
      </c>
      <c r="H10" s="177">
        <f t="shared" si="12"/>
        <v>1.0921849040206528</v>
      </c>
      <c r="I10" s="177">
        <f t="shared" si="13"/>
        <v>1.139939630437278</v>
      </c>
      <c r="J10" s="177">
        <f t="shared" si="14"/>
        <v>1.1412936006591599</v>
      </c>
      <c r="K10" s="410">
        <f t="shared" si="15"/>
        <v>1.1031067530608594</v>
      </c>
      <c r="L10" s="404">
        <f t="shared" ref="L10:L20" si="22">+AL42</f>
        <v>1.1252791987973825</v>
      </c>
      <c r="M10" s="413">
        <f t="shared" ref="M10:M20" si="23">AR42</f>
        <v>1.14789731069321</v>
      </c>
      <c r="N10" s="410">
        <f t="shared" si="16"/>
        <v>1.1709700466381434</v>
      </c>
      <c r="O10" s="416">
        <f t="shared" ref="O10:O20" si="24">+K10-H10</f>
        <v>1.0921849040206544E-2</v>
      </c>
      <c r="P10" s="379">
        <f t="shared" ref="P10:P20" si="25">+L10-H10</f>
        <v>3.3094294776729649E-2</v>
      </c>
      <c r="Q10" s="419">
        <f t="shared" ref="Q10:Q20" si="26">M10-H10</f>
        <v>5.5712406672557169E-2</v>
      </c>
      <c r="R10" s="419">
        <f t="shared" si="17"/>
        <v>7.8785142617490589E-2</v>
      </c>
      <c r="S10" s="469">
        <v>1.3</v>
      </c>
      <c r="T10" s="469">
        <v>1.35</v>
      </c>
      <c r="U10" s="485">
        <v>0</v>
      </c>
      <c r="V10" s="485">
        <v>0.03</v>
      </c>
      <c r="W10" s="422">
        <f t="shared" ref="W10:W20" si="27">+T10</f>
        <v>1.35</v>
      </c>
      <c r="X10" s="422">
        <f t="shared" ref="X10:X20" si="28">+W10+V10</f>
        <v>1.3800000000000001</v>
      </c>
      <c r="Y10" s="416">
        <f t="shared" ref="Y10:Y20" si="29">+K10-S10</f>
        <v>-0.19689324693914068</v>
      </c>
      <c r="Z10" s="416">
        <f t="shared" ref="Z10:Z20" si="30">+L10-T10</f>
        <v>-0.22472080120261761</v>
      </c>
      <c r="AA10" s="416">
        <f t="shared" ref="AA10:AA20" si="31">+M10-W10</f>
        <v>-0.2021026893067901</v>
      </c>
      <c r="AB10" s="416">
        <f t="shared" ref="AB10:AB20" si="32">+N10-X10</f>
        <v>-0.2090299533618567</v>
      </c>
      <c r="AC10" s="427">
        <f t="shared" ref="AC10:AC20" si="33">X42</f>
        <v>39.122999999999998</v>
      </c>
      <c r="AD10" s="427">
        <f t="shared" ref="AD10:AD20" si="34">AJ42</f>
        <v>39.122999999999998</v>
      </c>
      <c r="AE10" s="430">
        <f t="shared" si="2"/>
        <v>39.122999999999998</v>
      </c>
      <c r="AF10" s="430">
        <f t="shared" si="3"/>
        <v>39.122999999999998</v>
      </c>
      <c r="AG10" s="427">
        <f t="shared" ref="AG10:AG20" si="35">AC10*S10</f>
        <v>50.859899999999996</v>
      </c>
      <c r="AH10" s="427">
        <f t="shared" ref="AH10:AH20" si="36">AD10*T10</f>
        <v>52.816049999999997</v>
      </c>
      <c r="AI10" s="427">
        <f t="shared" si="20"/>
        <v>52.816049999999997</v>
      </c>
      <c r="AJ10" s="427">
        <f t="shared" si="21"/>
        <v>53.989739999999998</v>
      </c>
      <c r="AK10" s="434">
        <f t="shared" ref="AK10:AK20" si="37">(S10-1)/(H10-1)</f>
        <v>3.2543289293091737</v>
      </c>
      <c r="AL10" s="434">
        <f t="shared" ref="AL10:AL20" si="38">(T10-1)/(H10-1)</f>
        <v>3.7967170841940363</v>
      </c>
      <c r="AM10" s="434">
        <f t="shared" ref="AM10:AM20" si="39">(W10-1)/(H10-1)</f>
        <v>3.7967170841940363</v>
      </c>
      <c r="AN10" s="434">
        <f t="shared" ref="AN10:AN20" si="40">(X10-1)/(H10-1)</f>
        <v>4.1221499771249537</v>
      </c>
      <c r="AO10" s="440">
        <f t="shared" ref="AO10:AO20" si="41">S10-H10</f>
        <v>0.20781509597934722</v>
      </c>
      <c r="AP10" s="436">
        <f t="shared" ref="AP10:AP20" si="42">T10-H10</f>
        <v>0.25781509597934726</v>
      </c>
      <c r="AQ10" s="440">
        <f t="shared" ref="AQ10:AQ20" si="43">W10-H10</f>
        <v>0.25781509597934726</v>
      </c>
      <c r="AR10" s="436">
        <f t="shared" ref="AR10:AR20" si="44">X10-H10</f>
        <v>0.28781509597934729</v>
      </c>
    </row>
    <row r="11" spans="1:44" x14ac:dyDescent="0.35">
      <c r="A11" s="56" t="s">
        <v>78</v>
      </c>
      <c r="B11" s="177">
        <f t="shared" si="6"/>
        <v>3.6929173391225887</v>
      </c>
      <c r="C11" s="177">
        <f t="shared" si="7"/>
        <v>3.4328150527286154</v>
      </c>
      <c r="D11" s="177">
        <f t="shared" si="8"/>
        <v>3.6424876990338642</v>
      </c>
      <c r="E11" s="177">
        <f t="shared" si="9"/>
        <v>1.7382925072046109</v>
      </c>
      <c r="F11" s="177">
        <f t="shared" si="10"/>
        <v>1.7329467063817958</v>
      </c>
      <c r="G11" s="177">
        <f t="shared" si="11"/>
        <v>1.7630795084786348</v>
      </c>
      <c r="H11" s="177">
        <f t="shared" si="12"/>
        <v>1.8167864133518055</v>
      </c>
      <c r="I11" s="177">
        <f t="shared" si="13"/>
        <v>1.6012637351552481</v>
      </c>
      <c r="J11" s="177">
        <f t="shared" si="14"/>
        <v>1.7606306679672581</v>
      </c>
      <c r="K11" s="410">
        <f t="shared" si="15"/>
        <v>1.8531221416188415</v>
      </c>
      <c r="L11" s="404">
        <f t="shared" si="22"/>
        <v>1.9279882761402425</v>
      </c>
      <c r="M11" s="413">
        <f t="shared" si="23"/>
        <v>2.0058790024963087</v>
      </c>
      <c r="N11" s="410">
        <f t="shared" si="16"/>
        <v>2.0869165141971591</v>
      </c>
      <c r="O11" s="416">
        <f t="shared" si="24"/>
        <v>3.6335728267036016E-2</v>
      </c>
      <c r="P11" s="379">
        <f t="shared" si="25"/>
        <v>0.11120186278843702</v>
      </c>
      <c r="Q11" s="419">
        <f t="shared" si="26"/>
        <v>0.18909258914450322</v>
      </c>
      <c r="R11" s="419">
        <f t="shared" si="17"/>
        <v>0.2701301008453536</v>
      </c>
      <c r="S11" s="469">
        <v>2.4</v>
      </c>
      <c r="T11" s="469">
        <v>2.5</v>
      </c>
      <c r="U11" s="485">
        <v>0</v>
      </c>
      <c r="V11" s="485">
        <v>0.1</v>
      </c>
      <c r="W11" s="422">
        <f t="shared" si="27"/>
        <v>2.5</v>
      </c>
      <c r="X11" s="422">
        <f t="shared" si="28"/>
        <v>2.6</v>
      </c>
      <c r="Y11" s="416">
        <f t="shared" si="29"/>
        <v>-0.54687785838115843</v>
      </c>
      <c r="Z11" s="416">
        <f t="shared" si="30"/>
        <v>-0.57201172385975751</v>
      </c>
      <c r="AA11" s="416">
        <f t="shared" si="31"/>
        <v>-0.49412099750369132</v>
      </c>
      <c r="AB11" s="416">
        <f t="shared" si="32"/>
        <v>-0.51308348580284102</v>
      </c>
      <c r="AC11" s="427">
        <f t="shared" si="33"/>
        <v>1010.0209999999994</v>
      </c>
      <c r="AD11" s="427">
        <f t="shared" si="34"/>
        <v>1010.0209999999994</v>
      </c>
      <c r="AE11" s="430">
        <f t="shared" si="2"/>
        <v>1010.0209999999994</v>
      </c>
      <c r="AF11" s="430">
        <f t="shared" si="3"/>
        <v>1010.0209999999994</v>
      </c>
      <c r="AG11" s="427">
        <f t="shared" si="35"/>
        <v>2424.0503999999983</v>
      </c>
      <c r="AH11" s="427">
        <f t="shared" si="36"/>
        <v>2525.0524999999984</v>
      </c>
      <c r="AI11" s="427">
        <f t="shared" si="20"/>
        <v>2525.0524999999984</v>
      </c>
      <c r="AJ11" s="427">
        <f t="shared" si="21"/>
        <v>2626.0545999999986</v>
      </c>
      <c r="AK11" s="434">
        <f t="shared" si="37"/>
        <v>1.7140343878332771</v>
      </c>
      <c r="AL11" s="434">
        <f t="shared" si="38"/>
        <v>1.8364654155356541</v>
      </c>
      <c r="AM11" s="434">
        <f t="shared" si="39"/>
        <v>1.8364654155356541</v>
      </c>
      <c r="AN11" s="434">
        <f t="shared" si="40"/>
        <v>1.9588964432380311</v>
      </c>
      <c r="AO11" s="440">
        <f t="shared" si="41"/>
        <v>0.58321358664819445</v>
      </c>
      <c r="AP11" s="436">
        <f t="shared" si="42"/>
        <v>0.68321358664819454</v>
      </c>
      <c r="AQ11" s="440">
        <f t="shared" si="43"/>
        <v>0.68321358664819454</v>
      </c>
      <c r="AR11" s="436">
        <f t="shared" si="44"/>
        <v>0.78321358664819463</v>
      </c>
    </row>
    <row r="12" spans="1:44" x14ac:dyDescent="0.35">
      <c r="A12" s="56" t="s">
        <v>79</v>
      </c>
      <c r="B12" s="177">
        <f t="shared" si="6"/>
        <v>2.1710234362887282</v>
      </c>
      <c r="C12" s="177">
        <f t="shared" si="7"/>
        <v>2.1419874769859342</v>
      </c>
      <c r="D12" s="177">
        <f t="shared" si="8"/>
        <v>2.0456267794859655</v>
      </c>
      <c r="E12" s="177">
        <f t="shared" si="9"/>
        <v>1.5496062992125985</v>
      </c>
      <c r="F12" s="177">
        <f t="shared" si="10"/>
        <v>1.5415882576116868</v>
      </c>
      <c r="G12" s="177">
        <f t="shared" si="11"/>
        <v>1.4916980580298937</v>
      </c>
      <c r="H12" s="177">
        <f t="shared" si="12"/>
        <v>1.4745743144487757</v>
      </c>
      <c r="I12" s="177">
        <f t="shared" si="13"/>
        <v>1.2617615171856293</v>
      </c>
      <c r="J12" s="177">
        <f t="shared" si="14"/>
        <v>1.453714511852467</v>
      </c>
      <c r="K12" s="410">
        <f t="shared" si="15"/>
        <v>1.5040658007377514</v>
      </c>
      <c r="L12" s="404">
        <f t="shared" si="22"/>
        <v>1.5648300590875563</v>
      </c>
      <c r="M12" s="413">
        <f t="shared" si="23"/>
        <v>1.6280491934746939</v>
      </c>
      <c r="N12" s="410">
        <f t="shared" si="16"/>
        <v>1.6938223808910711</v>
      </c>
      <c r="O12" s="416">
        <f t="shared" si="24"/>
        <v>2.9491486288975688E-2</v>
      </c>
      <c r="P12" s="379">
        <f t="shared" si="25"/>
        <v>9.0255744638780611E-2</v>
      </c>
      <c r="Q12" s="419">
        <f t="shared" si="26"/>
        <v>0.15347487902591816</v>
      </c>
      <c r="R12" s="419">
        <f t="shared" si="17"/>
        <v>0.21924806644229533</v>
      </c>
      <c r="S12" s="469">
        <v>1.8</v>
      </c>
      <c r="T12" s="469">
        <v>2</v>
      </c>
      <c r="U12" s="485">
        <v>0</v>
      </c>
      <c r="V12" s="485">
        <v>0.1</v>
      </c>
      <c r="W12" s="422">
        <f t="shared" si="27"/>
        <v>2</v>
      </c>
      <c r="X12" s="422">
        <f t="shared" si="28"/>
        <v>2.1</v>
      </c>
      <c r="Y12" s="416">
        <f t="shared" si="29"/>
        <v>-0.29593419926224862</v>
      </c>
      <c r="Z12" s="416">
        <f t="shared" si="30"/>
        <v>-0.43516994091244365</v>
      </c>
      <c r="AA12" s="416">
        <f t="shared" si="31"/>
        <v>-0.3719508065253061</v>
      </c>
      <c r="AB12" s="416">
        <f t="shared" si="32"/>
        <v>-0.40617761910892902</v>
      </c>
      <c r="AC12" s="427">
        <f t="shared" si="33"/>
        <v>114.944</v>
      </c>
      <c r="AD12" s="427">
        <f t="shared" si="34"/>
        <v>114.944</v>
      </c>
      <c r="AE12" s="430">
        <f t="shared" si="2"/>
        <v>114.944</v>
      </c>
      <c r="AF12" s="430">
        <f t="shared" si="3"/>
        <v>114.944</v>
      </c>
      <c r="AG12" s="427">
        <f t="shared" si="35"/>
        <v>206.89920000000001</v>
      </c>
      <c r="AH12" s="427">
        <f t="shared" si="36"/>
        <v>229.88800000000001</v>
      </c>
      <c r="AI12" s="427">
        <f t="shared" si="20"/>
        <v>229.88800000000001</v>
      </c>
      <c r="AJ12" s="427">
        <f t="shared" si="21"/>
        <v>241.38240000000002</v>
      </c>
      <c r="AK12" s="434">
        <f t="shared" si="37"/>
        <v>1.685721236154996</v>
      </c>
      <c r="AL12" s="434">
        <f t="shared" si="38"/>
        <v>2.1071515451937448</v>
      </c>
      <c r="AM12" s="434">
        <f t="shared" si="39"/>
        <v>2.1071515451937448</v>
      </c>
      <c r="AN12" s="434">
        <f t="shared" si="40"/>
        <v>2.3178666997131199</v>
      </c>
      <c r="AO12" s="440">
        <f t="shared" si="41"/>
        <v>0.32542568555122431</v>
      </c>
      <c r="AP12" s="436">
        <f t="shared" si="42"/>
        <v>0.52542568555122426</v>
      </c>
      <c r="AQ12" s="440">
        <f t="shared" si="43"/>
        <v>0.52542568555122426</v>
      </c>
      <c r="AR12" s="436">
        <f t="shared" si="44"/>
        <v>0.62542568555122435</v>
      </c>
    </row>
    <row r="13" spans="1:44" x14ac:dyDescent="0.35">
      <c r="A13" s="56" t="s">
        <v>80</v>
      </c>
      <c r="B13" s="177"/>
      <c r="C13" s="177"/>
      <c r="D13" s="177"/>
      <c r="E13" s="177">
        <f>+M45</f>
        <v>1.1954350927246791</v>
      </c>
      <c r="F13" s="177">
        <f t="shared" si="10"/>
        <v>1.1953787222991694</v>
      </c>
      <c r="G13" s="177">
        <f t="shared" si="11"/>
        <v>1.1339378020265007</v>
      </c>
      <c r="H13" s="177">
        <f t="shared" si="12"/>
        <v>1.1345536733399768</v>
      </c>
      <c r="I13" s="177">
        <f t="shared" si="13"/>
        <v>1.1235549987434768</v>
      </c>
      <c r="J13" s="177">
        <f t="shared" si="14"/>
        <v>1.1354103492548933</v>
      </c>
      <c r="K13" s="410">
        <f t="shared" si="15"/>
        <v>1.1572447468067761</v>
      </c>
      <c r="L13" s="404">
        <f t="shared" si="22"/>
        <v>1.20399743457777</v>
      </c>
      <c r="M13" s="413">
        <f t="shared" si="23"/>
        <v>1.2526389309347119</v>
      </c>
      <c r="N13" s="410">
        <f t="shared" si="16"/>
        <v>1.3032455437444741</v>
      </c>
      <c r="O13" s="416">
        <f t="shared" si="24"/>
        <v>2.2691073466799327E-2</v>
      </c>
      <c r="P13" s="379">
        <f t="shared" si="25"/>
        <v>6.9443761237793167E-2</v>
      </c>
      <c r="Q13" s="419">
        <f t="shared" si="26"/>
        <v>0.11808525759473509</v>
      </c>
      <c r="R13" s="419">
        <f t="shared" si="17"/>
        <v>0.16869187040449729</v>
      </c>
      <c r="S13" s="469">
        <v>1.4</v>
      </c>
      <c r="T13" s="469">
        <v>1.5</v>
      </c>
      <c r="U13" s="485">
        <v>0</v>
      </c>
      <c r="V13" s="485">
        <v>0.05</v>
      </c>
      <c r="W13" s="422">
        <f t="shared" si="27"/>
        <v>1.5</v>
      </c>
      <c r="X13" s="422">
        <f t="shared" si="28"/>
        <v>1.55</v>
      </c>
      <c r="Y13" s="416">
        <f t="shared" si="29"/>
        <v>-0.24275525319322377</v>
      </c>
      <c r="Z13" s="416">
        <f t="shared" si="30"/>
        <v>-0.29600256542223002</v>
      </c>
      <c r="AA13" s="416">
        <f t="shared" si="31"/>
        <v>-0.2473610690652881</v>
      </c>
      <c r="AB13" s="416">
        <f t="shared" si="32"/>
        <v>-0.24675445625552594</v>
      </c>
      <c r="AC13" s="427">
        <f t="shared" si="33"/>
        <v>55.194999999999993</v>
      </c>
      <c r="AD13" s="427">
        <f t="shared" si="34"/>
        <v>55.194999999999993</v>
      </c>
      <c r="AE13" s="430">
        <f t="shared" si="2"/>
        <v>55.194999999999993</v>
      </c>
      <c r="AF13" s="430">
        <f t="shared" si="3"/>
        <v>55.194999999999993</v>
      </c>
      <c r="AG13" s="427">
        <f t="shared" si="35"/>
        <v>77.272999999999982</v>
      </c>
      <c r="AH13" s="427">
        <f t="shared" si="36"/>
        <v>82.79249999999999</v>
      </c>
      <c r="AI13" s="427">
        <f t="shared" si="20"/>
        <v>82.79249999999999</v>
      </c>
      <c r="AJ13" s="427">
        <f t="shared" si="21"/>
        <v>85.552249999999987</v>
      </c>
      <c r="AK13" s="434">
        <f t="shared" si="37"/>
        <v>2.9727913781240276</v>
      </c>
      <c r="AL13" s="434">
        <f t="shared" si="38"/>
        <v>3.7159892226550357</v>
      </c>
      <c r="AM13" s="434">
        <f t="shared" si="39"/>
        <v>3.7159892226550357</v>
      </c>
      <c r="AN13" s="434">
        <f t="shared" si="40"/>
        <v>4.0875881449205398</v>
      </c>
      <c r="AO13" s="440">
        <f t="shared" si="41"/>
        <v>0.2654463266600231</v>
      </c>
      <c r="AP13" s="436">
        <f t="shared" si="42"/>
        <v>0.36544632666002319</v>
      </c>
      <c r="AQ13" s="440">
        <f t="shared" si="43"/>
        <v>0.36544632666002319</v>
      </c>
      <c r="AR13" s="436">
        <f t="shared" si="44"/>
        <v>0.41544632666002324</v>
      </c>
    </row>
    <row r="14" spans="1:44" x14ac:dyDescent="0.35">
      <c r="A14" s="56" t="s">
        <v>81</v>
      </c>
      <c r="B14" s="177"/>
      <c r="C14" s="177"/>
      <c r="D14" s="177"/>
      <c r="E14" s="177">
        <f>+M46</f>
        <v>1.5119266055045872</v>
      </c>
      <c r="F14" s="177">
        <f t="shared" si="10"/>
        <v>1.5154773007944267</v>
      </c>
      <c r="G14" s="177">
        <f t="shared" si="11"/>
        <v>1.4716238119140521</v>
      </c>
      <c r="H14" s="177">
        <f t="shared" si="12"/>
        <v>1.4913220864356571</v>
      </c>
      <c r="I14" s="177">
        <f t="shared" si="13"/>
        <v>1.3430348312481444</v>
      </c>
      <c r="J14" s="177">
        <f t="shared" si="14"/>
        <v>1.4826237878734057</v>
      </c>
      <c r="K14" s="410">
        <f t="shared" si="15"/>
        <v>1.5211485281643704</v>
      </c>
      <c r="L14" s="404">
        <f t="shared" si="22"/>
        <v>1.5826029287022108</v>
      </c>
      <c r="M14" s="413">
        <f t="shared" si="23"/>
        <v>1.6465400870217803</v>
      </c>
      <c r="N14" s="410">
        <f t="shared" si="16"/>
        <v>1.7130603065374599</v>
      </c>
      <c r="O14" s="416">
        <f t="shared" si="24"/>
        <v>2.9826441728713293E-2</v>
      </c>
      <c r="P14" s="379">
        <f t="shared" si="25"/>
        <v>9.1280842266553641E-2</v>
      </c>
      <c r="Q14" s="419">
        <f t="shared" si="26"/>
        <v>0.15521800058612323</v>
      </c>
      <c r="R14" s="419">
        <f t="shared" si="17"/>
        <v>0.22173822010180277</v>
      </c>
      <c r="S14" s="469">
        <v>1.8</v>
      </c>
      <c r="T14" s="469">
        <v>1.9</v>
      </c>
      <c r="U14" s="485">
        <v>0</v>
      </c>
      <c r="V14" s="485">
        <v>0.05</v>
      </c>
      <c r="W14" s="422">
        <f t="shared" si="27"/>
        <v>1.9</v>
      </c>
      <c r="X14" s="422">
        <f t="shared" si="28"/>
        <v>1.95</v>
      </c>
      <c r="Y14" s="416">
        <f t="shared" si="29"/>
        <v>-0.27885147183562964</v>
      </c>
      <c r="Z14" s="416">
        <f t="shared" si="30"/>
        <v>-0.31739707129778916</v>
      </c>
      <c r="AA14" s="416">
        <f t="shared" si="31"/>
        <v>-0.25345991297821957</v>
      </c>
      <c r="AB14" s="416">
        <f t="shared" si="32"/>
        <v>-0.23693969346254007</v>
      </c>
      <c r="AC14" s="427">
        <f t="shared" si="33"/>
        <v>95.492999999999938</v>
      </c>
      <c r="AD14" s="427">
        <f t="shared" si="34"/>
        <v>95.492999999999938</v>
      </c>
      <c r="AE14" s="430">
        <f t="shared" si="2"/>
        <v>95.492999999999938</v>
      </c>
      <c r="AF14" s="430">
        <f t="shared" si="3"/>
        <v>95.492999999999938</v>
      </c>
      <c r="AG14" s="427">
        <f t="shared" si="35"/>
        <v>171.8873999999999</v>
      </c>
      <c r="AH14" s="427">
        <f t="shared" si="36"/>
        <v>181.43669999999989</v>
      </c>
      <c r="AI14" s="427">
        <f t="shared" si="20"/>
        <v>181.43669999999989</v>
      </c>
      <c r="AJ14" s="427">
        <f t="shared" si="21"/>
        <v>186.21134999999987</v>
      </c>
      <c r="AK14" s="434">
        <f t="shared" si="37"/>
        <v>1.6282597955318399</v>
      </c>
      <c r="AL14" s="434">
        <f t="shared" si="38"/>
        <v>1.8317922699733196</v>
      </c>
      <c r="AM14" s="434">
        <f t="shared" si="39"/>
        <v>1.8317922699733196</v>
      </c>
      <c r="AN14" s="434">
        <f t="shared" si="40"/>
        <v>1.9335585071940598</v>
      </c>
      <c r="AO14" s="440">
        <f t="shared" si="41"/>
        <v>0.30867791356434293</v>
      </c>
      <c r="AP14" s="436">
        <f t="shared" si="42"/>
        <v>0.4086779135643428</v>
      </c>
      <c r="AQ14" s="440">
        <f t="shared" si="43"/>
        <v>0.4086779135643428</v>
      </c>
      <c r="AR14" s="436">
        <f t="shared" si="44"/>
        <v>0.45867791356434284</v>
      </c>
    </row>
    <row r="15" spans="1:44" x14ac:dyDescent="0.35">
      <c r="A15" s="56" t="s">
        <v>82</v>
      </c>
      <c r="B15" s="177">
        <f t="shared" si="6"/>
        <v>3.3567566892167866</v>
      </c>
      <c r="C15" s="177">
        <f t="shared" si="7"/>
        <v>3.3443668558988802</v>
      </c>
      <c r="D15" s="177">
        <f t="shared" si="8"/>
        <v>3.1938244384659842</v>
      </c>
      <c r="E15" s="177">
        <f t="shared" si="9"/>
        <v>2.1007121057985758</v>
      </c>
      <c r="F15" s="177">
        <f t="shared" si="10"/>
        <v>2.056110804595265</v>
      </c>
      <c r="G15" s="177">
        <f t="shared" si="11"/>
        <v>2.150618683744804</v>
      </c>
      <c r="H15" s="177">
        <f t="shared" si="12"/>
        <v>2.1428268429176573</v>
      </c>
      <c r="I15" s="177">
        <f t="shared" si="13"/>
        <v>1.9772148255994448</v>
      </c>
      <c r="J15" s="177">
        <f t="shared" si="14"/>
        <v>1.9180742770011989</v>
      </c>
      <c r="K15" s="410">
        <f t="shared" si="15"/>
        <v>2.1856833797760107</v>
      </c>
      <c r="L15" s="404">
        <f t="shared" si="22"/>
        <v>2.2739849883189609</v>
      </c>
      <c r="M15" s="413">
        <f t="shared" si="23"/>
        <v>2.3658539818470472</v>
      </c>
      <c r="N15" s="410">
        <f t="shared" si="16"/>
        <v>2.4614344827136674</v>
      </c>
      <c r="O15" s="416">
        <f t="shared" si="24"/>
        <v>4.2856536858353333E-2</v>
      </c>
      <c r="P15" s="379">
        <f t="shared" si="25"/>
        <v>0.13115814540130355</v>
      </c>
      <c r="Q15" s="419">
        <f t="shared" si="26"/>
        <v>0.22302713892938986</v>
      </c>
      <c r="R15" s="419">
        <f t="shared" si="17"/>
        <v>0.31860763979601003</v>
      </c>
      <c r="S15" s="469">
        <v>2.5</v>
      </c>
      <c r="T15" s="469">
        <v>2.7</v>
      </c>
      <c r="U15" s="485">
        <v>0</v>
      </c>
      <c r="V15" s="485">
        <v>0.1</v>
      </c>
      <c r="W15" s="422">
        <f t="shared" si="27"/>
        <v>2.7</v>
      </c>
      <c r="X15" s="422">
        <f t="shared" si="28"/>
        <v>2.8000000000000003</v>
      </c>
      <c r="Y15" s="416">
        <f t="shared" si="29"/>
        <v>-0.31431662022398932</v>
      </c>
      <c r="Z15" s="416">
        <f t="shared" si="30"/>
        <v>-0.42601501168103928</v>
      </c>
      <c r="AA15" s="416">
        <f t="shared" si="31"/>
        <v>-0.33414601815295297</v>
      </c>
      <c r="AB15" s="416">
        <f t="shared" si="32"/>
        <v>-0.33856551728633288</v>
      </c>
      <c r="AC15" s="427">
        <f t="shared" si="33"/>
        <v>735.31500000000085</v>
      </c>
      <c r="AD15" s="427">
        <f t="shared" si="34"/>
        <v>735.31500000000085</v>
      </c>
      <c r="AE15" s="430">
        <f t="shared" si="2"/>
        <v>735.31500000000085</v>
      </c>
      <c r="AF15" s="430">
        <f t="shared" si="3"/>
        <v>735.31500000000085</v>
      </c>
      <c r="AG15" s="427">
        <f t="shared" si="35"/>
        <v>1838.2875000000022</v>
      </c>
      <c r="AH15" s="427">
        <f t="shared" si="36"/>
        <v>1985.3505000000025</v>
      </c>
      <c r="AI15" s="427">
        <f t="shared" si="20"/>
        <v>1985.3505000000025</v>
      </c>
      <c r="AJ15" s="427">
        <f t="shared" si="21"/>
        <v>2058.8820000000028</v>
      </c>
      <c r="AK15" s="434">
        <f t="shared" si="37"/>
        <v>1.3125347985093465</v>
      </c>
      <c r="AL15" s="434">
        <f t="shared" si="38"/>
        <v>1.4875394383105929</v>
      </c>
      <c r="AM15" s="434">
        <f t="shared" si="39"/>
        <v>1.4875394383105929</v>
      </c>
      <c r="AN15" s="434">
        <f t="shared" si="40"/>
        <v>1.5750417582112162</v>
      </c>
      <c r="AO15" s="440">
        <f t="shared" si="41"/>
        <v>0.35717315708234265</v>
      </c>
      <c r="AP15" s="436">
        <f t="shared" si="42"/>
        <v>0.55717315708234283</v>
      </c>
      <c r="AQ15" s="440">
        <f t="shared" si="43"/>
        <v>0.55717315708234283</v>
      </c>
      <c r="AR15" s="436">
        <f t="shared" si="44"/>
        <v>0.65717315708234292</v>
      </c>
    </row>
    <row r="16" spans="1:44" x14ac:dyDescent="0.35">
      <c r="A16" s="56" t="s">
        <v>83</v>
      </c>
      <c r="B16" s="177">
        <f t="shared" si="6"/>
        <v>1.6308810959306772</v>
      </c>
      <c r="C16" s="177">
        <f t="shared" si="7"/>
        <v>1.6150199016642786</v>
      </c>
      <c r="D16" s="177">
        <f t="shared" si="8"/>
        <v>1.6157596220043158</v>
      </c>
      <c r="E16" s="177">
        <f t="shared" si="9"/>
        <v>1.4361290322580644</v>
      </c>
      <c r="F16" s="177">
        <f t="shared" si="10"/>
        <v>1.4491590295775778</v>
      </c>
      <c r="G16" s="177">
        <f t="shared" si="11"/>
        <v>1.4734569821877144</v>
      </c>
      <c r="H16" s="177">
        <f t="shared" si="12"/>
        <v>1.2575683396671471</v>
      </c>
      <c r="I16" s="177">
        <f t="shared" si="13"/>
        <v>1.1612361161426581</v>
      </c>
      <c r="J16" s="177">
        <f t="shared" si="14"/>
        <v>1.2952298877713244</v>
      </c>
      <c r="K16" s="410">
        <f t="shared" si="15"/>
        <v>1.2701440230638186</v>
      </c>
      <c r="L16" s="404">
        <f t="shared" si="22"/>
        <v>1.2956739179274013</v>
      </c>
      <c r="M16" s="413">
        <f t="shared" si="23"/>
        <v>1.3217169636777422</v>
      </c>
      <c r="N16" s="410">
        <f t="shared" si="16"/>
        <v>1.3482834746476644</v>
      </c>
      <c r="O16" s="416">
        <f t="shared" si="24"/>
        <v>1.2575683396671478E-2</v>
      </c>
      <c r="P16" s="379">
        <f t="shared" si="25"/>
        <v>3.810557826025418E-2</v>
      </c>
      <c r="Q16" s="419">
        <f t="shared" si="26"/>
        <v>6.4148624010595068E-2</v>
      </c>
      <c r="R16" s="419">
        <f t="shared" si="17"/>
        <v>9.0715134980517309E-2</v>
      </c>
      <c r="S16" s="469">
        <v>1.6</v>
      </c>
      <c r="T16" s="469">
        <v>1.7</v>
      </c>
      <c r="U16" s="485">
        <v>0</v>
      </c>
      <c r="V16" s="485">
        <v>0.05</v>
      </c>
      <c r="W16" s="422">
        <f t="shared" si="27"/>
        <v>1.7</v>
      </c>
      <c r="X16" s="422">
        <f t="shared" si="28"/>
        <v>1.75</v>
      </c>
      <c r="Y16" s="416">
        <f t="shared" si="29"/>
        <v>-0.32985597693618152</v>
      </c>
      <c r="Z16" s="416">
        <f t="shared" si="30"/>
        <v>-0.40432608207259868</v>
      </c>
      <c r="AA16" s="416">
        <f t="shared" si="31"/>
        <v>-0.37828303632225779</v>
      </c>
      <c r="AB16" s="416">
        <f t="shared" si="32"/>
        <v>-0.4017165253523356</v>
      </c>
      <c r="AC16" s="427">
        <f t="shared" si="33"/>
        <v>114.46499999999995</v>
      </c>
      <c r="AD16" s="427">
        <f t="shared" si="34"/>
        <v>114.46499999999995</v>
      </c>
      <c r="AE16" s="430">
        <f t="shared" si="2"/>
        <v>114.46499999999995</v>
      </c>
      <c r="AF16" s="430">
        <f t="shared" si="3"/>
        <v>114.46499999999995</v>
      </c>
      <c r="AG16" s="427">
        <f t="shared" si="35"/>
        <v>183.14399999999992</v>
      </c>
      <c r="AH16" s="427">
        <f t="shared" si="36"/>
        <v>194.59049999999991</v>
      </c>
      <c r="AI16" s="427">
        <f t="shared" si="20"/>
        <v>194.59049999999991</v>
      </c>
      <c r="AJ16" s="427">
        <f t="shared" si="21"/>
        <v>200.31374999999991</v>
      </c>
      <c r="AK16" s="434">
        <f t="shared" si="37"/>
        <v>2.3294788512259461</v>
      </c>
      <c r="AL16" s="434">
        <f t="shared" si="38"/>
        <v>2.7177253264302697</v>
      </c>
      <c r="AM16" s="434">
        <f t="shared" si="39"/>
        <v>2.7177253264302697</v>
      </c>
      <c r="AN16" s="434">
        <f t="shared" si="40"/>
        <v>2.9118485640324323</v>
      </c>
      <c r="AO16" s="440">
        <f t="shared" si="41"/>
        <v>0.34243166033285299</v>
      </c>
      <c r="AP16" s="436">
        <f t="shared" si="42"/>
        <v>0.44243166033285286</v>
      </c>
      <c r="AQ16" s="440">
        <f t="shared" si="43"/>
        <v>0.44243166033285286</v>
      </c>
      <c r="AR16" s="436">
        <f t="shared" si="44"/>
        <v>0.49243166033285291</v>
      </c>
    </row>
    <row r="17" spans="1:44" x14ac:dyDescent="0.35">
      <c r="A17" s="56" t="s">
        <v>84</v>
      </c>
      <c r="B17" s="177">
        <f t="shared" si="6"/>
        <v>1.3639531186690952</v>
      </c>
      <c r="C17" s="177">
        <f t="shared" si="7"/>
        <v>2.2447143789592765</v>
      </c>
      <c r="D17" s="177">
        <f t="shared" si="8"/>
        <v>2.1618974562006623</v>
      </c>
      <c r="E17" s="177">
        <f t="shared" si="9"/>
        <v>1.375</v>
      </c>
      <c r="F17" s="177">
        <f t="shared" si="10"/>
        <v>1.3692357039041749</v>
      </c>
      <c r="G17" s="177">
        <f t="shared" si="11"/>
        <v>1.4072928690208355</v>
      </c>
      <c r="H17" s="177">
        <f t="shared" si="12"/>
        <v>1.3515075827656768</v>
      </c>
      <c r="I17" s="177">
        <f t="shared" si="13"/>
        <v>1.3283066809276602</v>
      </c>
      <c r="J17" s="177">
        <f t="shared" si="14"/>
        <v>1.340158769721592</v>
      </c>
      <c r="K17" s="410">
        <f t="shared" si="15"/>
        <v>1.3650226585933336</v>
      </c>
      <c r="L17" s="404">
        <f t="shared" si="22"/>
        <v>1.3924596140310597</v>
      </c>
      <c r="M17" s="413">
        <f t="shared" si="23"/>
        <v>1.420448052273084</v>
      </c>
      <c r="N17" s="410">
        <f t="shared" si="16"/>
        <v>1.4489990581237726</v>
      </c>
      <c r="O17" s="416">
        <f t="shared" si="24"/>
        <v>1.3515075827656764E-2</v>
      </c>
      <c r="P17" s="379">
        <f t="shared" si="25"/>
        <v>4.0952031265382827E-2</v>
      </c>
      <c r="Q17" s="419">
        <f t="shared" si="26"/>
        <v>6.8940469507407176E-2</v>
      </c>
      <c r="R17" s="419">
        <f t="shared" si="17"/>
        <v>9.7491475358095769E-2</v>
      </c>
      <c r="S17" s="469">
        <v>1.6</v>
      </c>
      <c r="T17" s="469">
        <v>1.7</v>
      </c>
      <c r="U17" s="485">
        <v>0</v>
      </c>
      <c r="V17" s="485">
        <v>0.05</v>
      </c>
      <c r="W17" s="422">
        <f t="shared" si="27"/>
        <v>1.7</v>
      </c>
      <c r="X17" s="422">
        <f t="shared" si="28"/>
        <v>1.75</v>
      </c>
      <c r="Y17" s="416">
        <f t="shared" si="29"/>
        <v>-0.23497734140666648</v>
      </c>
      <c r="Z17" s="416">
        <f t="shared" si="30"/>
        <v>-0.30754038596894029</v>
      </c>
      <c r="AA17" s="416">
        <f t="shared" si="31"/>
        <v>-0.27955194772691594</v>
      </c>
      <c r="AB17" s="416">
        <f t="shared" si="32"/>
        <v>-0.30100094187622739</v>
      </c>
      <c r="AC17" s="427">
        <f t="shared" si="33"/>
        <v>35.673000000000002</v>
      </c>
      <c r="AD17" s="427">
        <f t="shared" si="34"/>
        <v>35.673000000000002</v>
      </c>
      <c r="AE17" s="430">
        <f t="shared" si="2"/>
        <v>35.673000000000002</v>
      </c>
      <c r="AF17" s="430">
        <f t="shared" si="3"/>
        <v>35.673000000000002</v>
      </c>
      <c r="AG17" s="427">
        <f t="shared" si="35"/>
        <v>57.076800000000006</v>
      </c>
      <c r="AH17" s="427">
        <f t="shared" si="36"/>
        <v>60.644100000000002</v>
      </c>
      <c r="AI17" s="427">
        <f t="shared" si="20"/>
        <v>60.644100000000002</v>
      </c>
      <c r="AJ17" s="427">
        <f t="shared" si="21"/>
        <v>62.427750000000003</v>
      </c>
      <c r="AK17" s="434">
        <f t="shared" si="37"/>
        <v>1.7069333050489954</v>
      </c>
      <c r="AL17" s="434">
        <f t="shared" si="38"/>
        <v>1.9914221892238275</v>
      </c>
      <c r="AM17" s="434">
        <f t="shared" si="39"/>
        <v>1.9914221892238275</v>
      </c>
      <c r="AN17" s="434">
        <f t="shared" si="40"/>
        <v>2.133666631311244</v>
      </c>
      <c r="AO17" s="440">
        <f t="shared" si="41"/>
        <v>0.24849241723432325</v>
      </c>
      <c r="AP17" s="436">
        <f t="shared" si="42"/>
        <v>0.34849241723432312</v>
      </c>
      <c r="AQ17" s="440">
        <f t="shared" si="43"/>
        <v>0.34849241723432312</v>
      </c>
      <c r="AR17" s="436">
        <f t="shared" si="44"/>
        <v>0.39849241723432316</v>
      </c>
    </row>
    <row r="18" spans="1:44" x14ac:dyDescent="0.35">
      <c r="A18" s="56" t="s">
        <v>85</v>
      </c>
      <c r="B18" s="177">
        <f t="shared" si="6"/>
        <v>1.0802648669652353</v>
      </c>
      <c r="C18" s="177">
        <f t="shared" si="7"/>
        <v>1.0809951412506453</v>
      </c>
      <c r="D18" s="177">
        <f t="shared" si="8"/>
        <v>1.132316409963972</v>
      </c>
      <c r="E18" s="177">
        <f t="shared" si="9"/>
        <v>1.0666666666666667</v>
      </c>
      <c r="F18" s="177">
        <f t="shared" si="10"/>
        <v>1.069882130077878</v>
      </c>
      <c r="G18" s="177">
        <f t="shared" si="11"/>
        <v>1.0715861416018224</v>
      </c>
      <c r="H18" s="177">
        <f t="shared" si="12"/>
        <v>1.1763479710950526</v>
      </c>
      <c r="I18" s="177">
        <f t="shared" si="13"/>
        <v>0.8515610651974288</v>
      </c>
      <c r="J18" s="177">
        <f t="shared" si="14"/>
        <v>0.7842446407650171</v>
      </c>
      <c r="K18" s="410">
        <f t="shared" si="15"/>
        <v>1.1881114508060031</v>
      </c>
      <c r="L18" s="404">
        <f t="shared" si="22"/>
        <v>1.2119924909672037</v>
      </c>
      <c r="M18" s="413">
        <f t="shared" si="23"/>
        <v>1.2363535400356442</v>
      </c>
      <c r="N18" s="410">
        <f t="shared" si="16"/>
        <v>1.2612042461903608</v>
      </c>
      <c r="O18" s="416">
        <f t="shared" si="24"/>
        <v>1.1763479710950486E-2</v>
      </c>
      <c r="P18" s="379">
        <f t="shared" si="25"/>
        <v>3.5644519872151115E-2</v>
      </c>
      <c r="Q18" s="419">
        <f t="shared" si="26"/>
        <v>6.0005568940591614E-2</v>
      </c>
      <c r="R18" s="419">
        <f t="shared" si="17"/>
        <v>8.4856275095308131E-2</v>
      </c>
      <c r="S18" s="469">
        <v>1.25</v>
      </c>
      <c r="T18" s="469">
        <v>1.3</v>
      </c>
      <c r="U18" s="485">
        <v>0</v>
      </c>
      <c r="V18" s="485">
        <v>0.03</v>
      </c>
      <c r="W18" s="422">
        <f t="shared" si="27"/>
        <v>1.3</v>
      </c>
      <c r="X18" s="422">
        <f t="shared" si="28"/>
        <v>1.33</v>
      </c>
      <c r="Y18" s="416">
        <f t="shared" si="29"/>
        <v>-6.1888549193996889E-2</v>
      </c>
      <c r="Z18" s="416">
        <f t="shared" si="30"/>
        <v>-8.8007509032796305E-2</v>
      </c>
      <c r="AA18" s="416">
        <f t="shared" si="31"/>
        <v>-6.3646459964355806E-2</v>
      </c>
      <c r="AB18" s="416">
        <f t="shared" si="32"/>
        <v>-6.8795753809639315E-2</v>
      </c>
      <c r="AC18" s="427">
        <f t="shared" si="33"/>
        <v>28.784000000000006</v>
      </c>
      <c r="AD18" s="427">
        <f t="shared" si="34"/>
        <v>28.784000000000006</v>
      </c>
      <c r="AE18" s="430">
        <f t="shared" si="2"/>
        <v>28.784000000000006</v>
      </c>
      <c r="AF18" s="430">
        <f t="shared" si="3"/>
        <v>28.784000000000006</v>
      </c>
      <c r="AG18" s="427">
        <f t="shared" si="35"/>
        <v>35.980000000000004</v>
      </c>
      <c r="AH18" s="427">
        <f t="shared" si="36"/>
        <v>37.419200000000011</v>
      </c>
      <c r="AI18" s="427">
        <f t="shared" si="20"/>
        <v>37.419200000000011</v>
      </c>
      <c r="AJ18" s="427">
        <f t="shared" si="21"/>
        <v>38.282720000000012</v>
      </c>
      <c r="AK18" s="434">
        <f t="shared" si="37"/>
        <v>1.4176516942474404</v>
      </c>
      <c r="AL18" s="434">
        <f t="shared" si="38"/>
        <v>1.7011820330969287</v>
      </c>
      <c r="AM18" s="434">
        <f t="shared" si="39"/>
        <v>1.7011820330969287</v>
      </c>
      <c r="AN18" s="434">
        <f t="shared" si="40"/>
        <v>1.8713002364066218</v>
      </c>
      <c r="AO18" s="440">
        <f t="shared" si="41"/>
        <v>7.3652028904947375E-2</v>
      </c>
      <c r="AP18" s="436">
        <f t="shared" si="42"/>
        <v>0.12365202890494742</v>
      </c>
      <c r="AQ18" s="440">
        <f t="shared" si="43"/>
        <v>0.12365202890494742</v>
      </c>
      <c r="AR18" s="436">
        <f t="shared" si="44"/>
        <v>0.15365202890494745</v>
      </c>
    </row>
    <row r="19" spans="1:44" x14ac:dyDescent="0.35">
      <c r="A19" s="56" t="s">
        <v>86</v>
      </c>
      <c r="B19" s="177">
        <f t="shared" si="6"/>
        <v>1.2084219023653886</v>
      </c>
      <c r="C19" s="177">
        <f t="shared" si="7"/>
        <v>1.2415595005361264</v>
      </c>
      <c r="D19" s="177">
        <f t="shared" si="8"/>
        <v>1.1905161022963555</v>
      </c>
      <c r="E19" s="177">
        <f t="shared" si="9"/>
        <v>1.1724137931034482</v>
      </c>
      <c r="F19" s="177">
        <f t="shared" si="10"/>
        <v>1.1886400252171472</v>
      </c>
      <c r="G19" s="177">
        <f t="shared" si="11"/>
        <v>1.2051190809750627</v>
      </c>
      <c r="H19" s="177">
        <f t="shared" si="12"/>
        <v>1.2259563728141341</v>
      </c>
      <c r="I19" s="177">
        <f t="shared" si="13"/>
        <v>1.1954110317580915</v>
      </c>
      <c r="J19" s="177">
        <f t="shared" si="14"/>
        <v>1.2490997492972724</v>
      </c>
      <c r="K19" s="410">
        <f t="shared" si="15"/>
        <v>1.2382159365422756</v>
      </c>
      <c r="L19" s="404">
        <f t="shared" si="22"/>
        <v>1.2631040768667749</v>
      </c>
      <c r="M19" s="413">
        <f t="shared" si="23"/>
        <v>1.2884924688117971</v>
      </c>
      <c r="N19" s="410">
        <f t="shared" si="16"/>
        <v>1.3143911674349142</v>
      </c>
      <c r="O19" s="416">
        <f t="shared" si="24"/>
        <v>1.225956372814152E-2</v>
      </c>
      <c r="P19" s="379">
        <f t="shared" si="25"/>
        <v>3.7147704052640895E-2</v>
      </c>
      <c r="Q19" s="419">
        <f t="shared" si="26"/>
        <v>6.2536095997663077E-2</v>
      </c>
      <c r="R19" s="419">
        <f t="shared" si="17"/>
        <v>8.8434794620780188E-2</v>
      </c>
      <c r="S19" s="469">
        <v>1.35</v>
      </c>
      <c r="T19" s="469">
        <v>1.4</v>
      </c>
      <c r="U19" s="485">
        <v>0</v>
      </c>
      <c r="V19" s="485">
        <v>0.03</v>
      </c>
      <c r="W19" s="422">
        <f t="shared" si="27"/>
        <v>1.4</v>
      </c>
      <c r="X19" s="422">
        <f t="shared" si="28"/>
        <v>1.43</v>
      </c>
      <c r="Y19" s="416">
        <f t="shared" si="29"/>
        <v>-0.11178406345772451</v>
      </c>
      <c r="Z19" s="416">
        <f t="shared" si="30"/>
        <v>-0.13689592313322496</v>
      </c>
      <c r="AA19" s="416">
        <f t="shared" si="31"/>
        <v>-0.11150753118820278</v>
      </c>
      <c r="AB19" s="416">
        <f t="shared" si="32"/>
        <v>-0.1156088325650857</v>
      </c>
      <c r="AC19" s="427">
        <f t="shared" si="33"/>
        <v>22.187999999999999</v>
      </c>
      <c r="AD19" s="427">
        <f t="shared" si="34"/>
        <v>22.187999999999999</v>
      </c>
      <c r="AE19" s="430">
        <f t="shared" si="2"/>
        <v>22.187999999999999</v>
      </c>
      <c r="AF19" s="430">
        <f t="shared" si="3"/>
        <v>22.187999999999999</v>
      </c>
      <c r="AG19" s="427">
        <f t="shared" si="35"/>
        <v>29.953800000000001</v>
      </c>
      <c r="AH19" s="427">
        <f t="shared" si="36"/>
        <v>31.063199999999995</v>
      </c>
      <c r="AI19" s="427">
        <f t="shared" si="20"/>
        <v>31.063199999999995</v>
      </c>
      <c r="AJ19" s="427">
        <f t="shared" si="21"/>
        <v>31.728839999999998</v>
      </c>
      <c r="AK19" s="434">
        <f t="shared" si="37"/>
        <v>1.5489715808453925</v>
      </c>
      <c r="AL19" s="434">
        <f t="shared" si="38"/>
        <v>1.7702532352518763</v>
      </c>
      <c r="AM19" s="434">
        <f t="shared" si="39"/>
        <v>1.7702532352518763</v>
      </c>
      <c r="AN19" s="434">
        <f t="shared" si="40"/>
        <v>1.9030222278957671</v>
      </c>
      <c r="AO19" s="440">
        <f t="shared" si="41"/>
        <v>0.12404362718586603</v>
      </c>
      <c r="AP19" s="436">
        <f t="shared" si="42"/>
        <v>0.17404362718586586</v>
      </c>
      <c r="AQ19" s="440">
        <f t="shared" si="43"/>
        <v>0.17404362718586586</v>
      </c>
      <c r="AR19" s="436">
        <f t="shared" si="44"/>
        <v>0.20404362718586588</v>
      </c>
    </row>
    <row r="20" spans="1:44" x14ac:dyDescent="0.35">
      <c r="A20" s="56" t="s">
        <v>87</v>
      </c>
      <c r="B20" s="177">
        <f t="shared" si="6"/>
        <v>1.3253224872636202</v>
      </c>
      <c r="C20" s="177">
        <f t="shared" si="7"/>
        <v>1.8439888372923263</v>
      </c>
      <c r="D20" s="177">
        <f t="shared" si="8"/>
        <v>1.8354238460481787</v>
      </c>
      <c r="E20" s="177">
        <f t="shared" si="9"/>
        <v>1.3739130434782607</v>
      </c>
      <c r="F20" s="177">
        <f t="shared" si="10"/>
        <v>1.3229653330426248</v>
      </c>
      <c r="G20" s="177">
        <f t="shared" si="11"/>
        <v>1.5962712525178135</v>
      </c>
      <c r="H20" s="177">
        <f t="shared" si="12"/>
        <v>1.5203956958975031</v>
      </c>
      <c r="I20" s="177">
        <f t="shared" si="13"/>
        <v>1.011792019215022</v>
      </c>
      <c r="J20" s="177">
        <f t="shared" si="14"/>
        <v>1.0073284419975717</v>
      </c>
      <c r="K20" s="410">
        <f t="shared" si="15"/>
        <v>1.5355996528564784</v>
      </c>
      <c r="L20" s="404">
        <f t="shared" si="22"/>
        <v>1.5664652058788933</v>
      </c>
      <c r="M20" s="413">
        <f t="shared" si="23"/>
        <v>1.5979511565170592</v>
      </c>
      <c r="N20" s="410">
        <f t="shared" si="16"/>
        <v>1.6300699747630518</v>
      </c>
      <c r="O20" s="416">
        <f t="shared" si="24"/>
        <v>1.5203956958975251E-2</v>
      </c>
      <c r="P20" s="379">
        <f t="shared" si="25"/>
        <v>4.6069509981390144E-2</v>
      </c>
      <c r="Q20" s="419">
        <f t="shared" si="26"/>
        <v>7.7555460619556094E-2</v>
      </c>
      <c r="R20" s="419">
        <f t="shared" si="17"/>
        <v>0.1096742788655487</v>
      </c>
      <c r="S20" s="469">
        <v>1.7</v>
      </c>
      <c r="T20" s="469">
        <v>1.75</v>
      </c>
      <c r="U20" s="485">
        <v>0</v>
      </c>
      <c r="V20" s="485">
        <v>0.03</v>
      </c>
      <c r="W20" s="422">
        <f t="shared" si="27"/>
        <v>1.75</v>
      </c>
      <c r="X20" s="422">
        <f t="shared" si="28"/>
        <v>1.78</v>
      </c>
      <c r="Y20" s="416">
        <f t="shared" si="29"/>
        <v>-0.16440034714352159</v>
      </c>
      <c r="Z20" s="416">
        <f t="shared" si="30"/>
        <v>-0.18353479412110674</v>
      </c>
      <c r="AA20" s="416">
        <f t="shared" si="31"/>
        <v>-0.15204884348294079</v>
      </c>
      <c r="AB20" s="416">
        <f t="shared" si="32"/>
        <v>-0.14993002523694821</v>
      </c>
      <c r="AC20" s="427">
        <f t="shared" si="33"/>
        <v>83.826999999999998</v>
      </c>
      <c r="AD20" s="427">
        <f t="shared" si="34"/>
        <v>83.826999999999998</v>
      </c>
      <c r="AE20" s="430">
        <f t="shared" si="2"/>
        <v>83.826999999999998</v>
      </c>
      <c r="AF20" s="430">
        <f t="shared" si="3"/>
        <v>83.826999999999998</v>
      </c>
      <c r="AG20" s="427">
        <f t="shared" si="35"/>
        <v>142.5059</v>
      </c>
      <c r="AH20" s="427">
        <f t="shared" si="36"/>
        <v>146.69725</v>
      </c>
      <c r="AI20" s="427">
        <f t="shared" si="20"/>
        <v>146.69725</v>
      </c>
      <c r="AJ20" s="427">
        <f t="shared" si="21"/>
        <v>149.21206000000001</v>
      </c>
      <c r="AK20" s="434">
        <f t="shared" si="37"/>
        <v>1.345130264370733</v>
      </c>
      <c r="AL20" s="434">
        <f t="shared" si="38"/>
        <v>1.4412109975400711</v>
      </c>
      <c r="AM20" s="434">
        <f t="shared" si="39"/>
        <v>1.4412109975400711</v>
      </c>
      <c r="AN20" s="434">
        <f t="shared" si="40"/>
        <v>1.4988594374416742</v>
      </c>
      <c r="AO20" s="440">
        <f t="shared" si="41"/>
        <v>0.17960430410249684</v>
      </c>
      <c r="AP20" s="436">
        <f t="shared" si="42"/>
        <v>0.22960430410249688</v>
      </c>
      <c r="AQ20" s="440">
        <f t="shared" si="43"/>
        <v>0.22960430410249688</v>
      </c>
      <c r="AR20" s="436">
        <f t="shared" si="44"/>
        <v>0.25960430410249691</v>
      </c>
    </row>
    <row r="21" spans="1:44" x14ac:dyDescent="0.35">
      <c r="A21" s="56" t="s">
        <v>88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410"/>
      <c r="L21" s="404"/>
      <c r="M21" s="413"/>
      <c r="N21" s="410"/>
      <c r="O21" s="416"/>
      <c r="P21" s="379"/>
      <c r="Q21" s="419"/>
      <c r="R21" s="419">
        <f t="shared" si="17"/>
        <v>0</v>
      </c>
      <c r="S21" s="469"/>
      <c r="T21" s="469"/>
      <c r="U21" s="485"/>
      <c r="V21" s="485"/>
      <c r="W21" s="422"/>
      <c r="X21" s="422"/>
      <c r="Y21" s="416"/>
      <c r="Z21" s="424"/>
      <c r="AA21" s="416"/>
      <c r="AB21" s="416"/>
      <c r="AC21" s="424"/>
      <c r="AD21" s="424"/>
      <c r="AE21" s="430">
        <f t="shared" si="2"/>
        <v>0</v>
      </c>
      <c r="AF21" s="430">
        <f t="shared" si="3"/>
        <v>0</v>
      </c>
      <c r="AG21" s="424"/>
      <c r="AH21" s="424"/>
      <c r="AI21" s="427">
        <f t="shared" si="20"/>
        <v>0</v>
      </c>
      <c r="AJ21" s="427">
        <f t="shared" si="21"/>
        <v>0</v>
      </c>
      <c r="AK21" s="424"/>
      <c r="AL21" s="424"/>
      <c r="AM21" s="434"/>
      <c r="AN21" s="434"/>
      <c r="AO21" s="424"/>
      <c r="AP21" s="437"/>
      <c r="AQ21" s="440"/>
      <c r="AR21" s="436"/>
    </row>
    <row r="22" spans="1:44" x14ac:dyDescent="0.35">
      <c r="A22" s="56" t="s">
        <v>233</v>
      </c>
      <c r="B22" s="177">
        <f t="shared" si="6"/>
        <v>2.065146035427246</v>
      </c>
      <c r="C22" s="177">
        <f t="shared" si="7"/>
        <v>1.9722788870280601</v>
      </c>
      <c r="D22" s="177">
        <f t="shared" si="8"/>
        <v>2.0126260099355147</v>
      </c>
      <c r="E22" s="177">
        <f t="shared" si="9"/>
        <v>1.6478704259148169</v>
      </c>
      <c r="F22" s="177">
        <f t="shared" si="10"/>
        <v>1.6454330911116677</v>
      </c>
      <c r="G22" s="177">
        <f t="shared" si="11"/>
        <v>1.6585761184395833</v>
      </c>
      <c r="H22" s="177">
        <f t="shared" si="12"/>
        <v>1.7068326370634623</v>
      </c>
      <c r="I22" s="177">
        <f t="shared" si="13"/>
        <v>1.472061299329511</v>
      </c>
      <c r="J22" s="177">
        <f t="shared" si="14"/>
        <v>1.5514800943350098</v>
      </c>
      <c r="K22" s="410">
        <f t="shared" si="15"/>
        <v>1.7409692898047315</v>
      </c>
      <c r="L22" s="404">
        <f>+AL54</f>
        <v>1.8113044491128427</v>
      </c>
      <c r="M22" s="413">
        <f>AR54</f>
        <v>1.8844811488570017</v>
      </c>
      <c r="N22" s="410">
        <f t="shared" si="16"/>
        <v>1.960614187270824</v>
      </c>
      <c r="O22" s="416">
        <f>+K22-H22</f>
        <v>3.4136652741269202E-2</v>
      </c>
      <c r="P22" s="379">
        <f>+L22-H22</f>
        <v>0.10447181204938039</v>
      </c>
      <c r="Q22" s="419">
        <f>M22-H22</f>
        <v>0.17764851179353935</v>
      </c>
      <c r="R22" s="419">
        <f t="shared" si="17"/>
        <v>0.25378155020736171</v>
      </c>
      <c r="S22" s="469">
        <v>2</v>
      </c>
      <c r="T22" s="469">
        <v>2.2000000000000002</v>
      </c>
      <c r="U22" s="485">
        <v>0</v>
      </c>
      <c r="V22" s="485">
        <v>0.1</v>
      </c>
      <c r="W22" s="422">
        <f>+T22</f>
        <v>2.2000000000000002</v>
      </c>
      <c r="X22" s="422">
        <f>+W22+V22</f>
        <v>2.3000000000000003</v>
      </c>
      <c r="Y22" s="416">
        <f>+K22-S22</f>
        <v>-0.25903071019526847</v>
      </c>
      <c r="Z22" s="416">
        <f>+L22-T22</f>
        <v>-0.38869555088715746</v>
      </c>
      <c r="AA22" s="416">
        <f>+M22-W22</f>
        <v>-0.31551885114299849</v>
      </c>
      <c r="AB22" s="416">
        <f>+N22-X22</f>
        <v>-0.33938581272917623</v>
      </c>
      <c r="AC22" s="427">
        <f>X54</f>
        <v>426.07999999999953</v>
      </c>
      <c r="AD22" s="427">
        <f>AJ54</f>
        <v>426.07999999999953</v>
      </c>
      <c r="AE22" s="430">
        <f t="shared" si="2"/>
        <v>426.07999999999953</v>
      </c>
      <c r="AF22" s="430">
        <f t="shared" si="3"/>
        <v>426.07999999999953</v>
      </c>
      <c r="AG22" s="427">
        <f>AC22*S22</f>
        <v>852.15999999999906</v>
      </c>
      <c r="AH22" s="427">
        <f>AD22*T22</f>
        <v>937.37599999999907</v>
      </c>
      <c r="AI22" s="427">
        <f t="shared" si="20"/>
        <v>937.37599999999907</v>
      </c>
      <c r="AJ22" s="427">
        <f t="shared" si="21"/>
        <v>979.98399999999901</v>
      </c>
      <c r="AK22" s="434">
        <f>(S22-1)/(H22-1)</f>
        <v>1.4147620632721518</v>
      </c>
      <c r="AL22" s="434">
        <f>(T22-1)/(H22-1)</f>
        <v>1.6977144759265823</v>
      </c>
      <c r="AM22" s="434">
        <f>(W22-1)/(H22-1)</f>
        <v>1.6977144759265823</v>
      </c>
      <c r="AN22" s="434">
        <f>(X22-1)/(H22-1)</f>
        <v>1.8391906822537978</v>
      </c>
      <c r="AO22" s="440">
        <f>S22-H22</f>
        <v>0.29316736293653767</v>
      </c>
      <c r="AP22" s="436">
        <f>T22-H22</f>
        <v>0.49316736293653785</v>
      </c>
      <c r="AQ22" s="440">
        <f>W22-H22</f>
        <v>0.49316736293653785</v>
      </c>
      <c r="AR22" s="436">
        <f>X22-H22</f>
        <v>0.59316736293653793</v>
      </c>
    </row>
    <row r="23" spans="1:44" x14ac:dyDescent="0.35">
      <c r="A23" s="56" t="s">
        <v>90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410"/>
      <c r="L23" s="404"/>
      <c r="M23" s="413"/>
      <c r="N23" s="410"/>
      <c r="O23" s="416"/>
      <c r="P23" s="379"/>
      <c r="Q23" s="419"/>
      <c r="R23" s="419">
        <f t="shared" si="17"/>
        <v>0</v>
      </c>
      <c r="S23" s="469"/>
      <c r="T23" s="469"/>
      <c r="U23" s="485"/>
      <c r="V23" s="485"/>
      <c r="W23" s="422"/>
      <c r="X23" s="422"/>
      <c r="Y23" s="416"/>
      <c r="Z23" s="424"/>
      <c r="AA23" s="416"/>
      <c r="AB23" s="416"/>
      <c r="AC23" s="424"/>
      <c r="AD23" s="424"/>
      <c r="AE23" s="430">
        <f t="shared" si="2"/>
        <v>0</v>
      </c>
      <c r="AF23" s="430">
        <f t="shared" si="3"/>
        <v>0</v>
      </c>
      <c r="AG23" s="424"/>
      <c r="AH23" s="424"/>
      <c r="AI23" s="427">
        <f t="shared" si="20"/>
        <v>0</v>
      </c>
      <c r="AJ23" s="427">
        <f t="shared" si="21"/>
        <v>0</v>
      </c>
      <c r="AK23" s="424"/>
      <c r="AL23" s="424"/>
      <c r="AM23" s="434"/>
      <c r="AN23" s="434"/>
      <c r="AO23" s="424"/>
      <c r="AP23" s="437"/>
      <c r="AQ23" s="440"/>
      <c r="AR23" s="436"/>
    </row>
    <row r="24" spans="1:44" x14ac:dyDescent="0.35">
      <c r="A24" s="56" t="s">
        <v>91</v>
      </c>
      <c r="B24" s="177">
        <f t="shared" si="6"/>
        <v>1.0745380436508225</v>
      </c>
      <c r="C24" s="177">
        <f t="shared" si="7"/>
        <v>1.0678962461261419</v>
      </c>
      <c r="D24" s="177">
        <f t="shared" si="8"/>
        <v>1.0537545732798428</v>
      </c>
      <c r="E24" s="177">
        <f t="shared" si="9"/>
        <v>1.095890410958904</v>
      </c>
      <c r="F24" s="177">
        <f t="shared" si="10"/>
        <v>1.0985781909237471</v>
      </c>
      <c r="G24" s="177">
        <f t="shared" si="11"/>
        <v>1.1154656467601964</v>
      </c>
      <c r="H24" s="177">
        <f t="shared" si="12"/>
        <v>1.0838703845072124</v>
      </c>
      <c r="I24" s="177">
        <f t="shared" si="13"/>
        <v>1.0921114498644986</v>
      </c>
      <c r="J24" s="177">
        <f t="shared" si="14"/>
        <v>1.1216218777499494</v>
      </c>
      <c r="K24" s="410">
        <f t="shared" si="15"/>
        <v>1.0947090883522845</v>
      </c>
      <c r="L24" s="404">
        <f>+AL56</f>
        <v>1.1167127410281654</v>
      </c>
      <c r="M24" s="413">
        <f>AR56</f>
        <v>1.1391586671228315</v>
      </c>
      <c r="N24" s="410">
        <f t="shared" si="16"/>
        <v>1.1620557563320004</v>
      </c>
      <c r="O24" s="416">
        <f>+K24-H24</f>
        <v>1.0838703845072128E-2</v>
      </c>
      <c r="P24" s="379">
        <f>+L24-H24</f>
        <v>3.284235652095302E-2</v>
      </c>
      <c r="Q24" s="419">
        <f>M24-H24</f>
        <v>5.5288282615619133E-2</v>
      </c>
      <c r="R24" s="419">
        <f t="shared" si="17"/>
        <v>7.8185371824788019E-2</v>
      </c>
      <c r="S24" s="469">
        <v>1.3</v>
      </c>
      <c r="T24" s="469">
        <v>1.35</v>
      </c>
      <c r="U24" s="485">
        <v>0</v>
      </c>
      <c r="V24" s="485">
        <v>0.03</v>
      </c>
      <c r="W24" s="422">
        <f t="shared" ref="W24:W25" si="45">+T24</f>
        <v>1.35</v>
      </c>
      <c r="X24" s="422">
        <f t="shared" ref="X24:X25" si="46">+W24+V24</f>
        <v>1.3800000000000001</v>
      </c>
      <c r="Y24" s="416">
        <f>+K24-S24</f>
        <v>-0.20529091164771551</v>
      </c>
      <c r="Z24" s="416">
        <f>+L24-T24</f>
        <v>-0.23328725897183467</v>
      </c>
      <c r="AA24" s="416">
        <f>+M24-W24</f>
        <v>-0.21084133287716855</v>
      </c>
      <c r="AB24" s="416">
        <f>+N24-X24</f>
        <v>-0.21794424366799969</v>
      </c>
      <c r="AC24" s="427">
        <f>X56</f>
        <v>24.888999999999996</v>
      </c>
      <c r="AD24" s="427">
        <f>AJ56</f>
        <v>24.888999999999996</v>
      </c>
      <c r="AE24" s="430">
        <f t="shared" si="2"/>
        <v>24.888999999999996</v>
      </c>
      <c r="AF24" s="430">
        <f t="shared" si="3"/>
        <v>24.888999999999996</v>
      </c>
      <c r="AG24" s="427">
        <f>AC24*S24</f>
        <v>32.355699999999999</v>
      </c>
      <c r="AH24" s="427">
        <f>AD24*T24</f>
        <v>33.600149999999999</v>
      </c>
      <c r="AI24" s="427">
        <f t="shared" si="20"/>
        <v>33.600149999999999</v>
      </c>
      <c r="AJ24" s="427">
        <f t="shared" si="21"/>
        <v>34.346819999999994</v>
      </c>
      <c r="AK24" s="434">
        <f>(S24-1)/(H24-1)</f>
        <v>3.5769479508491062</v>
      </c>
      <c r="AL24" s="434">
        <f>(T24-1)/(H24-1)</f>
        <v>4.1731059426572914</v>
      </c>
      <c r="AM24" s="434">
        <f>(W24-1)/(H24-1)</f>
        <v>4.1731059426572914</v>
      </c>
      <c r="AN24" s="434">
        <f>(X24-1)/(H24-1)</f>
        <v>4.5308007377422017</v>
      </c>
      <c r="AO24" s="440">
        <f>S24-H24</f>
        <v>0.21612961549278764</v>
      </c>
      <c r="AP24" s="436">
        <f>T24-H24</f>
        <v>0.26612961549278769</v>
      </c>
      <c r="AQ24" s="440">
        <f>W24-H24</f>
        <v>0.26612961549278769</v>
      </c>
      <c r="AR24" s="436">
        <f>X24-H24</f>
        <v>0.29612961549278771</v>
      </c>
    </row>
    <row r="25" spans="1:44" x14ac:dyDescent="0.35">
      <c r="A25" s="56" t="s">
        <v>92</v>
      </c>
      <c r="B25" s="177">
        <f t="shared" si="6"/>
        <v>1.1180409614281424</v>
      </c>
      <c r="C25" s="177">
        <f t="shared" si="7"/>
        <v>1.1169686829095296</v>
      </c>
      <c r="D25" s="177">
        <f t="shared" si="8"/>
        <v>1.0724899476452769</v>
      </c>
      <c r="E25" s="177">
        <f t="shared" si="9"/>
        <v>1.152733118971061</v>
      </c>
      <c r="F25" s="177">
        <f t="shared" si="10"/>
        <v>1.1542452860544437</v>
      </c>
      <c r="G25" s="177">
        <f t="shared" si="11"/>
        <v>1.2123270480725916</v>
      </c>
      <c r="H25" s="177">
        <f t="shared" si="12"/>
        <v>1.0828681810881708</v>
      </c>
      <c r="I25" s="177">
        <f t="shared" si="13"/>
        <v>1.0682558102105197</v>
      </c>
      <c r="J25" s="177">
        <f t="shared" si="14"/>
        <v>1.1091620929970554</v>
      </c>
      <c r="K25" s="410">
        <f t="shared" si="15"/>
        <v>1.0936968628990527</v>
      </c>
      <c r="L25" s="404">
        <f>+AL57</f>
        <v>1.1156801698433234</v>
      </c>
      <c r="M25" s="413">
        <f>AR57</f>
        <v>1.1381053412571742</v>
      </c>
      <c r="N25" s="410">
        <f t="shared" si="16"/>
        <v>1.1609812586164434</v>
      </c>
      <c r="O25" s="416">
        <f>+K25-H25</f>
        <v>1.0828681810881813E-2</v>
      </c>
      <c r="P25" s="379">
        <f>+L25-H25</f>
        <v>3.2811988755152566E-2</v>
      </c>
      <c r="Q25" s="419">
        <f>M25-H25</f>
        <v>5.5237160169003374E-2</v>
      </c>
      <c r="R25" s="419">
        <f t="shared" si="17"/>
        <v>7.8113077528272568E-2</v>
      </c>
      <c r="S25" s="469">
        <v>1.3</v>
      </c>
      <c r="T25" s="469">
        <v>1.35</v>
      </c>
      <c r="U25" s="485">
        <v>0</v>
      </c>
      <c r="V25" s="485">
        <v>0.03</v>
      </c>
      <c r="W25" s="422">
        <f t="shared" si="45"/>
        <v>1.35</v>
      </c>
      <c r="X25" s="422">
        <f t="shared" si="46"/>
        <v>1.3800000000000001</v>
      </c>
      <c r="Y25" s="416">
        <f>+K25-S25</f>
        <v>-0.20630313710094739</v>
      </c>
      <c r="Z25" s="416">
        <f>+L25-T25</f>
        <v>-0.23431983015667668</v>
      </c>
      <c r="AA25" s="416">
        <f>+M25-W25</f>
        <v>-0.21189465874282587</v>
      </c>
      <c r="AB25" s="416">
        <f>+N25-X25</f>
        <v>-0.2190187413835567</v>
      </c>
      <c r="AC25" s="427">
        <f>X57</f>
        <v>56.039000000000001</v>
      </c>
      <c r="AD25" s="427">
        <f>AJ57</f>
        <v>56.039000000000001</v>
      </c>
      <c r="AE25" s="430">
        <f t="shared" si="2"/>
        <v>56.039000000000001</v>
      </c>
      <c r="AF25" s="430">
        <f t="shared" si="3"/>
        <v>56.039000000000001</v>
      </c>
      <c r="AG25" s="427">
        <f>AC25*S25</f>
        <v>72.850700000000003</v>
      </c>
      <c r="AH25" s="427">
        <f>AD25*T25</f>
        <v>75.652650000000008</v>
      </c>
      <c r="AI25" s="427">
        <f t="shared" si="20"/>
        <v>75.652650000000008</v>
      </c>
      <c r="AJ25" s="427">
        <f t="shared" si="21"/>
        <v>77.333820000000003</v>
      </c>
      <c r="AK25" s="434">
        <f>(S25-1)/(H25-1)</f>
        <v>3.6202073710391121</v>
      </c>
      <c r="AL25" s="434">
        <f>(T25-1)/(H25-1)</f>
        <v>4.2235752662122978</v>
      </c>
      <c r="AM25" s="434">
        <f>(W25-1)/(H25-1)</f>
        <v>4.2235752662122978</v>
      </c>
      <c r="AN25" s="434">
        <f>(X25-1)/(H25-1)</f>
        <v>4.5855960033162093</v>
      </c>
      <c r="AO25" s="440">
        <f>S25-H25</f>
        <v>0.2171318189118292</v>
      </c>
      <c r="AP25" s="436">
        <f>T25-H25</f>
        <v>0.26713181891182924</v>
      </c>
      <c r="AQ25" s="440">
        <f>W25-H25</f>
        <v>0.26713181891182924</v>
      </c>
      <c r="AR25" s="436">
        <f>X25-H25</f>
        <v>0.29713181891182927</v>
      </c>
    </row>
    <row r="26" spans="1:44" x14ac:dyDescent="0.35">
      <c r="A26" s="56" t="s">
        <v>93</v>
      </c>
      <c r="B26" s="177"/>
      <c r="C26" s="177"/>
      <c r="D26" s="177"/>
      <c r="E26" s="177"/>
      <c r="F26" s="177"/>
      <c r="G26" s="177"/>
      <c r="H26" s="177"/>
      <c r="I26" s="177"/>
      <c r="J26" s="177"/>
      <c r="K26" s="410"/>
      <c r="L26" s="404"/>
      <c r="M26" s="413"/>
      <c r="N26" s="410"/>
      <c r="O26" s="416"/>
      <c r="P26" s="379"/>
      <c r="Q26" s="419"/>
      <c r="R26" s="419">
        <f t="shared" si="17"/>
        <v>0</v>
      </c>
      <c r="S26" s="469"/>
      <c r="T26" s="469"/>
      <c r="U26" s="485"/>
      <c r="V26" s="485"/>
      <c r="W26" s="422"/>
      <c r="X26" s="422"/>
      <c r="Y26" s="416"/>
      <c r="Z26" s="424"/>
      <c r="AA26" s="416"/>
      <c r="AB26" s="416"/>
      <c r="AC26" s="424"/>
      <c r="AD26" s="424"/>
      <c r="AE26" s="430">
        <f t="shared" si="2"/>
        <v>0</v>
      </c>
      <c r="AF26" s="430">
        <f t="shared" si="3"/>
        <v>0</v>
      </c>
      <c r="AG26" s="424"/>
      <c r="AH26" s="424"/>
      <c r="AI26" s="427">
        <f t="shared" si="20"/>
        <v>0</v>
      </c>
      <c r="AJ26" s="427">
        <f t="shared" si="21"/>
        <v>0</v>
      </c>
      <c r="AK26" s="424"/>
      <c r="AL26" s="424"/>
      <c r="AM26" s="434"/>
      <c r="AN26" s="434"/>
      <c r="AO26" s="424"/>
      <c r="AP26" s="437"/>
      <c r="AQ26" s="440"/>
      <c r="AR26" s="436"/>
    </row>
    <row r="27" spans="1:44" x14ac:dyDescent="0.35">
      <c r="A27" s="56" t="s">
        <v>94</v>
      </c>
      <c r="B27" s="177">
        <f t="shared" si="6"/>
        <v>1.3694498118940801</v>
      </c>
      <c r="C27" s="177">
        <f t="shared" si="7"/>
        <v>1.3149183938910052</v>
      </c>
      <c r="D27" s="177">
        <f t="shared" si="8"/>
        <v>1.3487640536036909</v>
      </c>
      <c r="E27" s="177">
        <f t="shared" si="9"/>
        <v>1.1701346389228886</v>
      </c>
      <c r="F27" s="177">
        <f t="shared" si="10"/>
        <v>1.1700390476773361</v>
      </c>
      <c r="G27" s="177">
        <f t="shared" si="11"/>
        <v>1.2266219474876066</v>
      </c>
      <c r="H27" s="177">
        <f t="shared" si="12"/>
        <v>1.5832132639791947</v>
      </c>
      <c r="I27" s="177">
        <f t="shared" si="13"/>
        <v>1.4429996767455742</v>
      </c>
      <c r="J27" s="177">
        <f t="shared" si="14"/>
        <v>1.7465882499222873</v>
      </c>
      <c r="K27" s="410">
        <f t="shared" si="15"/>
        <v>1.5990453966189868</v>
      </c>
      <c r="L27" s="404">
        <f t="shared" ref="L27:L32" si="47">+AL59</f>
        <v>1.6311862090910281</v>
      </c>
      <c r="M27" s="413">
        <f t="shared" ref="M27:M32" si="48">AR59</f>
        <v>1.6639730518937579</v>
      </c>
      <c r="N27" s="410">
        <f t="shared" si="16"/>
        <v>1.6974189102368222</v>
      </c>
      <c r="O27" s="416">
        <f t="shared" ref="O27:O32" si="49">+K27-H27</f>
        <v>1.5832132639792107E-2</v>
      </c>
      <c r="P27" s="379">
        <f t="shared" ref="P27:P32" si="50">+L27-H27</f>
        <v>4.7972945111833365E-2</v>
      </c>
      <c r="Q27" s="419">
        <f t="shared" ref="Q27:Q32" si="51">M27-H27</f>
        <v>8.0759787914563175E-2</v>
      </c>
      <c r="R27" s="419">
        <f t="shared" si="17"/>
        <v>0.11420564625762752</v>
      </c>
      <c r="S27" s="469">
        <v>1.7</v>
      </c>
      <c r="T27" s="469">
        <v>1.75</v>
      </c>
      <c r="U27" s="485">
        <v>0</v>
      </c>
      <c r="V27" s="485">
        <v>0.03</v>
      </c>
      <c r="W27" s="422">
        <f t="shared" ref="W27:W28" si="52">+T27</f>
        <v>1.75</v>
      </c>
      <c r="X27" s="422">
        <f t="shared" ref="X27:X28" si="53">+W27+V27</f>
        <v>1.78</v>
      </c>
      <c r="Y27" s="416">
        <f t="shared" ref="Y27:Z32" si="54">+K27-S27</f>
        <v>-0.10095460338101314</v>
      </c>
      <c r="Z27" s="416">
        <f t="shared" si="54"/>
        <v>-0.11881379090897193</v>
      </c>
      <c r="AA27" s="416">
        <f t="shared" ref="AA27:AB32" si="55">+M27-W27</f>
        <v>-8.6026948106242118E-2</v>
      </c>
      <c r="AB27" s="416">
        <f t="shared" si="55"/>
        <v>-8.2581089763177795E-2</v>
      </c>
      <c r="AC27" s="427">
        <f t="shared" ref="AC27:AC32" si="56">X59</f>
        <v>69.20999999999998</v>
      </c>
      <c r="AD27" s="427">
        <f t="shared" ref="AD27:AD32" si="57">AJ59</f>
        <v>69.20999999999998</v>
      </c>
      <c r="AE27" s="430">
        <f t="shared" si="2"/>
        <v>69.20999999999998</v>
      </c>
      <c r="AF27" s="430">
        <f t="shared" si="3"/>
        <v>69.20999999999998</v>
      </c>
      <c r="AG27" s="427">
        <f t="shared" ref="AG27:AH31" si="58">AC27*S27</f>
        <v>117.65699999999997</v>
      </c>
      <c r="AH27" s="427">
        <f t="shared" si="58"/>
        <v>121.11749999999996</v>
      </c>
      <c r="AI27" s="427">
        <f t="shared" si="20"/>
        <v>121.11749999999996</v>
      </c>
      <c r="AJ27" s="427">
        <f t="shared" si="21"/>
        <v>123.19379999999997</v>
      </c>
      <c r="AK27" s="434">
        <f t="shared" ref="AK27:AK32" si="59">(S27-1)/(H27-1)</f>
        <v>1.2002470506654517</v>
      </c>
      <c r="AL27" s="434">
        <f t="shared" ref="AL27:AL32" si="60">(T27-1)/(H27-1)</f>
        <v>1.2859789828558412</v>
      </c>
      <c r="AM27" s="434">
        <f t="shared" ref="AM27:AM32" si="61">(W27-1)/(H27-1)</f>
        <v>1.2859789828558412</v>
      </c>
      <c r="AN27" s="434">
        <f t="shared" ref="AN27:AN32" si="62">(X27-1)/(H27-1)</f>
        <v>1.3374181421700748</v>
      </c>
      <c r="AO27" s="440">
        <f t="shared" ref="AO27:AO32" si="63">S27-H27</f>
        <v>0.11678673602080525</v>
      </c>
      <c r="AP27" s="436">
        <f t="shared" ref="AP27:AP32" si="64">T27-H27</f>
        <v>0.16678673602080529</v>
      </c>
      <c r="AQ27" s="440">
        <f t="shared" ref="AQ27:AQ32" si="65">W27-H27</f>
        <v>0.16678673602080529</v>
      </c>
      <c r="AR27" s="436">
        <f t="shared" ref="AR27:AR32" si="66">X27-H27</f>
        <v>0.19678673602080532</v>
      </c>
    </row>
    <row r="28" spans="1:44" x14ac:dyDescent="0.35">
      <c r="A28" s="56" t="s">
        <v>95</v>
      </c>
      <c r="B28" s="177">
        <f t="shared" si="6"/>
        <v>1.2320820892986262</v>
      </c>
      <c r="C28" s="177">
        <f t="shared" si="7"/>
        <v>1.2508592198120028</v>
      </c>
      <c r="D28" s="177">
        <f t="shared" si="8"/>
        <v>1.2055298635969072</v>
      </c>
      <c r="E28" s="177">
        <f t="shared" si="9"/>
        <v>1.1484716157205241</v>
      </c>
      <c r="F28" s="177">
        <f t="shared" si="10"/>
        <v>1.154015037593985</v>
      </c>
      <c r="G28" s="177">
        <f t="shared" si="11"/>
        <v>1.1448156400174749</v>
      </c>
      <c r="H28" s="177">
        <f t="shared" si="12"/>
        <v>1.1428909682204602</v>
      </c>
      <c r="I28" s="177">
        <f t="shared" si="13"/>
        <v>1.1359353583997032</v>
      </c>
      <c r="J28" s="177">
        <f t="shared" si="14"/>
        <v>1.1485867753287646</v>
      </c>
      <c r="K28" s="410">
        <f t="shared" si="15"/>
        <v>1.1543198779026649</v>
      </c>
      <c r="L28" s="404">
        <f t="shared" si="47"/>
        <v>1.1775217074485083</v>
      </c>
      <c r="M28" s="413">
        <f t="shared" si="48"/>
        <v>1.2011898937682233</v>
      </c>
      <c r="N28" s="410">
        <f t="shared" si="16"/>
        <v>1.2253338106329643</v>
      </c>
      <c r="O28" s="416">
        <f t="shared" si="49"/>
        <v>1.1428909682204669E-2</v>
      </c>
      <c r="P28" s="379">
        <f t="shared" si="50"/>
        <v>3.4630739228048046E-2</v>
      </c>
      <c r="Q28" s="419">
        <f t="shared" si="51"/>
        <v>5.8298925547763059E-2</v>
      </c>
      <c r="R28" s="419">
        <f t="shared" si="17"/>
        <v>8.2442842412504103E-2</v>
      </c>
      <c r="S28" s="469">
        <v>1.35</v>
      </c>
      <c r="T28" s="469">
        <v>1.4</v>
      </c>
      <c r="U28" s="485">
        <v>0</v>
      </c>
      <c r="V28" s="485">
        <v>0.03</v>
      </c>
      <c r="W28" s="422">
        <f t="shared" si="52"/>
        <v>1.4</v>
      </c>
      <c r="X28" s="422">
        <f t="shared" si="53"/>
        <v>1.43</v>
      </c>
      <c r="Y28" s="416">
        <f t="shared" si="54"/>
        <v>-0.19568012209733521</v>
      </c>
      <c r="Z28" s="416">
        <f t="shared" si="54"/>
        <v>-0.22247829255149165</v>
      </c>
      <c r="AA28" s="416">
        <f t="shared" si="55"/>
        <v>-0.19881010623177664</v>
      </c>
      <c r="AB28" s="416">
        <f t="shared" si="55"/>
        <v>-0.20466618936703562</v>
      </c>
      <c r="AC28" s="427">
        <f t="shared" si="56"/>
        <v>17.527000000000001</v>
      </c>
      <c r="AD28" s="427">
        <f t="shared" si="57"/>
        <v>17.527000000000001</v>
      </c>
      <c r="AE28" s="430">
        <f t="shared" si="2"/>
        <v>17.527000000000001</v>
      </c>
      <c r="AF28" s="430">
        <f t="shared" si="3"/>
        <v>17.527000000000001</v>
      </c>
      <c r="AG28" s="427">
        <f t="shared" si="58"/>
        <v>23.661450000000002</v>
      </c>
      <c r="AH28" s="427">
        <f t="shared" si="58"/>
        <v>24.537800000000001</v>
      </c>
      <c r="AI28" s="427">
        <f t="shared" si="20"/>
        <v>24.537800000000001</v>
      </c>
      <c r="AJ28" s="427">
        <f t="shared" si="21"/>
        <v>25.063610000000001</v>
      </c>
      <c r="AK28" s="434">
        <f t="shared" si="59"/>
        <v>2.4494200323424251</v>
      </c>
      <c r="AL28" s="434">
        <f t="shared" si="60"/>
        <v>2.7993371798199131</v>
      </c>
      <c r="AM28" s="434">
        <f t="shared" si="61"/>
        <v>2.7993371798199131</v>
      </c>
      <c r="AN28" s="434">
        <f t="shared" si="62"/>
        <v>3.0092874683064066</v>
      </c>
      <c r="AO28" s="440">
        <f t="shared" si="63"/>
        <v>0.20710903177953988</v>
      </c>
      <c r="AP28" s="436">
        <f t="shared" si="64"/>
        <v>0.2571090317795397</v>
      </c>
      <c r="AQ28" s="440">
        <f t="shared" si="65"/>
        <v>0.2571090317795397</v>
      </c>
      <c r="AR28" s="436">
        <f t="shared" si="66"/>
        <v>0.28710903177953973</v>
      </c>
    </row>
    <row r="29" spans="1:44" s="93" customFormat="1" x14ac:dyDescent="0.35">
      <c r="A29" s="93" t="s">
        <v>96</v>
      </c>
      <c r="B29" s="511"/>
      <c r="C29" s="511"/>
      <c r="D29" s="511"/>
      <c r="E29" s="511"/>
      <c r="F29" s="549">
        <f>+P61</f>
        <v>1.3763349083083836</v>
      </c>
      <c r="G29" s="549">
        <f>+S61</f>
        <v>1.37082844291768</v>
      </c>
      <c r="H29" s="549">
        <f>+V61</f>
        <v>1.3795736452266079</v>
      </c>
      <c r="I29" s="549">
        <f>+AC61</f>
        <v>1.3088715867484237</v>
      </c>
      <c r="J29" s="549">
        <f>+AI61</f>
        <v>1.3745245504840939</v>
      </c>
      <c r="K29" s="550">
        <f t="shared" si="15"/>
        <v>1.40716511813114</v>
      </c>
      <c r="L29" s="549">
        <f t="shared" si="47"/>
        <v>1.4640145889036378</v>
      </c>
      <c r="M29" s="551">
        <f t="shared" si="48"/>
        <v>1.5231607782953451</v>
      </c>
      <c r="N29" s="550">
        <f t="shared" si="16"/>
        <v>1.5846964737384768</v>
      </c>
      <c r="O29" s="552">
        <f t="shared" si="49"/>
        <v>2.7591472904532122E-2</v>
      </c>
      <c r="P29" s="553">
        <f t="shared" si="50"/>
        <v>8.4440943677029923E-2</v>
      </c>
      <c r="Q29" s="554">
        <f t="shared" si="51"/>
        <v>0.14358713306873727</v>
      </c>
      <c r="R29" s="554">
        <f t="shared" si="17"/>
        <v>0.20512282851186892</v>
      </c>
      <c r="S29" s="555">
        <v>1.6</v>
      </c>
      <c r="T29" s="556">
        <v>1.7</v>
      </c>
      <c r="U29" s="557">
        <v>0</v>
      </c>
      <c r="V29" s="557">
        <v>0.05</v>
      </c>
      <c r="W29" s="550">
        <f>+T29+U29</f>
        <v>1.7</v>
      </c>
      <c r="X29" s="550">
        <f>+W29+V29</f>
        <v>1.75</v>
      </c>
      <c r="Y29" s="552">
        <f t="shared" si="54"/>
        <v>-0.19283488186886011</v>
      </c>
      <c r="Z29" s="552">
        <f t="shared" si="54"/>
        <v>-0.23598541109636217</v>
      </c>
      <c r="AA29" s="552">
        <f t="shared" si="55"/>
        <v>-0.17683922170465483</v>
      </c>
      <c r="AB29" s="552">
        <f t="shared" si="55"/>
        <v>-0.16530352626152323</v>
      </c>
      <c r="AC29" s="558">
        <f t="shared" si="56"/>
        <v>192.11699999999993</v>
      </c>
      <c r="AD29" s="558">
        <f t="shared" si="57"/>
        <v>192.11699999999993</v>
      </c>
      <c r="AE29" s="559">
        <f t="shared" si="2"/>
        <v>192.11699999999993</v>
      </c>
      <c r="AF29" s="559">
        <f t="shared" si="3"/>
        <v>192.11699999999993</v>
      </c>
      <c r="AG29" s="558">
        <f t="shared" si="58"/>
        <v>307.38719999999989</v>
      </c>
      <c r="AH29" s="558">
        <f t="shared" si="58"/>
        <v>326.5988999999999</v>
      </c>
      <c r="AI29" s="558">
        <f t="shared" si="20"/>
        <v>326.5988999999999</v>
      </c>
      <c r="AJ29" s="558">
        <f t="shared" si="21"/>
        <v>336.20474999999988</v>
      </c>
      <c r="AK29" s="560">
        <f t="shared" si="59"/>
        <v>1.5807209155466952</v>
      </c>
      <c r="AL29" s="560">
        <f t="shared" si="60"/>
        <v>1.8441744014711441</v>
      </c>
      <c r="AM29" s="560">
        <f t="shared" si="61"/>
        <v>1.8441744014711441</v>
      </c>
      <c r="AN29" s="560">
        <f t="shared" si="62"/>
        <v>1.975901144433369</v>
      </c>
      <c r="AO29" s="561">
        <f t="shared" si="63"/>
        <v>0.22042635477339223</v>
      </c>
      <c r="AP29" s="562">
        <f t="shared" si="64"/>
        <v>0.3204263547733921</v>
      </c>
      <c r="AQ29" s="561">
        <f t="shared" si="65"/>
        <v>0.3204263547733921</v>
      </c>
      <c r="AR29" s="562">
        <f t="shared" si="66"/>
        <v>0.37042635477339214</v>
      </c>
    </row>
    <row r="30" spans="1:44" x14ac:dyDescent="0.35">
      <c r="A30" s="56" t="s">
        <v>98</v>
      </c>
      <c r="B30" s="177">
        <f>+D62</f>
        <v>2.7289322601878272</v>
      </c>
      <c r="C30" s="177">
        <f>+G62</f>
        <v>2.665752665275205</v>
      </c>
      <c r="D30" s="177">
        <f>+J62</f>
        <v>2.7131727919707997</v>
      </c>
      <c r="E30" s="177">
        <f>+M62</f>
        <v>1.6737590569914571</v>
      </c>
      <c r="F30" s="177">
        <f>+P62</f>
        <v>1.6603999646351051</v>
      </c>
      <c r="G30" s="177">
        <f>+S62</f>
        <v>1.7133586222662673</v>
      </c>
      <c r="H30" s="177">
        <f t="shared" si="12"/>
        <v>1.7326810829346506</v>
      </c>
      <c r="I30" s="177">
        <f t="shared" si="13"/>
        <v>1.5426159048599106</v>
      </c>
      <c r="J30" s="177">
        <f t="shared" si="14"/>
        <v>1.6209177615968242</v>
      </c>
      <c r="K30" s="410">
        <f t="shared" si="15"/>
        <v>1.7673347045933436</v>
      </c>
      <c r="L30" s="404">
        <f t="shared" si="47"/>
        <v>1.8387350266589146</v>
      </c>
      <c r="M30" s="413">
        <f t="shared" si="48"/>
        <v>1.9130199217359347</v>
      </c>
      <c r="N30" s="410">
        <f t="shared" si="16"/>
        <v>1.9903059265740664</v>
      </c>
      <c r="O30" s="416">
        <f t="shared" si="49"/>
        <v>3.4653621658693012E-2</v>
      </c>
      <c r="P30" s="379">
        <f t="shared" si="50"/>
        <v>0.10605394372426402</v>
      </c>
      <c r="Q30" s="419">
        <f t="shared" si="51"/>
        <v>0.1803388388012841</v>
      </c>
      <c r="R30" s="419">
        <f t="shared" si="17"/>
        <v>0.25762484363941573</v>
      </c>
      <c r="S30" s="469">
        <v>2.08</v>
      </c>
      <c r="T30" s="469">
        <v>2.15</v>
      </c>
      <c r="U30" s="485">
        <v>0</v>
      </c>
      <c r="V30" s="485">
        <v>0.08</v>
      </c>
      <c r="W30" s="422">
        <f t="shared" ref="W30:W31" si="67">+T30</f>
        <v>2.15</v>
      </c>
      <c r="X30" s="422">
        <f t="shared" ref="X30:X31" si="68">+W30+V30</f>
        <v>2.23</v>
      </c>
      <c r="Y30" s="416">
        <f t="shared" si="54"/>
        <v>-0.31266529540665644</v>
      </c>
      <c r="Z30" s="416">
        <f t="shared" si="54"/>
        <v>-0.31126497334108527</v>
      </c>
      <c r="AA30" s="416">
        <f t="shared" si="55"/>
        <v>-0.2369800782640652</v>
      </c>
      <c r="AB30" s="416">
        <f t="shared" si="55"/>
        <v>-0.23969407342593363</v>
      </c>
      <c r="AC30" s="427">
        <f t="shared" si="56"/>
        <v>3324.4849999999997</v>
      </c>
      <c r="AD30" s="427">
        <f t="shared" si="57"/>
        <v>3324.4849999999997</v>
      </c>
      <c r="AE30" s="430">
        <f t="shared" si="2"/>
        <v>3324.4849999999997</v>
      </c>
      <c r="AF30" s="430">
        <f t="shared" si="3"/>
        <v>3324.4849999999997</v>
      </c>
      <c r="AG30" s="427">
        <f t="shared" si="58"/>
        <v>6914.9287999999997</v>
      </c>
      <c r="AH30" s="427">
        <f t="shared" si="58"/>
        <v>7147.6427499999991</v>
      </c>
      <c r="AI30" s="427">
        <f t="shared" si="20"/>
        <v>7147.6427499999991</v>
      </c>
      <c r="AJ30" s="427">
        <f t="shared" si="21"/>
        <v>7413.6015499999994</v>
      </c>
      <c r="AK30" s="434">
        <f t="shared" si="59"/>
        <v>1.4740383301206748</v>
      </c>
      <c r="AL30" s="434">
        <f t="shared" si="60"/>
        <v>1.569577851517385</v>
      </c>
      <c r="AM30" s="434">
        <f t="shared" si="61"/>
        <v>1.569577851517385</v>
      </c>
      <c r="AN30" s="434">
        <f t="shared" si="62"/>
        <v>1.6787658759707684</v>
      </c>
      <c r="AO30" s="440">
        <f t="shared" si="63"/>
        <v>0.34731891706534945</v>
      </c>
      <c r="AP30" s="436">
        <f t="shared" si="64"/>
        <v>0.41731891706534929</v>
      </c>
      <c r="AQ30" s="440">
        <f t="shared" si="65"/>
        <v>0.41731891706534929</v>
      </c>
      <c r="AR30" s="436">
        <f t="shared" si="66"/>
        <v>0.49731891706534936</v>
      </c>
    </row>
    <row r="31" spans="1:44" x14ac:dyDescent="0.35">
      <c r="A31" s="56" t="s">
        <v>99</v>
      </c>
      <c r="B31" s="177">
        <f>+D63</f>
        <v>1.2168656953551289</v>
      </c>
      <c r="C31" s="177">
        <f>+G63</f>
        <v>1.5294884287264348</v>
      </c>
      <c r="D31" s="177">
        <f>+J63</f>
        <v>1.5936994595177101</v>
      </c>
      <c r="E31" s="177">
        <f>+M63</f>
        <v>1.092973003311444</v>
      </c>
      <c r="F31" s="177">
        <f>+P63</f>
        <v>1.1043188015399543</v>
      </c>
      <c r="G31" s="177">
        <f>+S63</f>
        <v>1.1248984819396286</v>
      </c>
      <c r="H31" s="177">
        <f t="shared" si="12"/>
        <v>1.1228136645387246</v>
      </c>
      <c r="I31" s="177">
        <f t="shared" si="13"/>
        <v>1.0816695716638658</v>
      </c>
      <c r="J31" s="177">
        <f t="shared" si="14"/>
        <v>1.1005426056472078</v>
      </c>
      <c r="K31" s="410">
        <f t="shared" si="15"/>
        <v>1.1340418011841118</v>
      </c>
      <c r="L31" s="404">
        <f t="shared" si="47"/>
        <v>1.1568360413879124</v>
      </c>
      <c r="M31" s="413">
        <f t="shared" si="48"/>
        <v>1.1800884458198095</v>
      </c>
      <c r="N31" s="410">
        <f t="shared" si="16"/>
        <v>1.2038082235807874</v>
      </c>
      <c r="O31" s="416">
        <f t="shared" si="49"/>
        <v>1.1228136645387243E-2</v>
      </c>
      <c r="P31" s="379">
        <f t="shared" si="50"/>
        <v>3.4022376849187852E-2</v>
      </c>
      <c r="Q31" s="419">
        <f t="shared" si="51"/>
        <v>5.7274781281084985E-2</v>
      </c>
      <c r="R31" s="419">
        <f t="shared" si="17"/>
        <v>8.0994559042062875E-2</v>
      </c>
      <c r="S31" s="469">
        <v>1.3</v>
      </c>
      <c r="T31" s="469">
        <v>1.35</v>
      </c>
      <c r="U31" s="485">
        <v>0</v>
      </c>
      <c r="V31" s="485">
        <v>0.03</v>
      </c>
      <c r="W31" s="422">
        <f t="shared" si="67"/>
        <v>1.35</v>
      </c>
      <c r="X31" s="422">
        <f t="shared" si="68"/>
        <v>1.3800000000000001</v>
      </c>
      <c r="Y31" s="416">
        <f t="shared" si="54"/>
        <v>-0.16595819881588825</v>
      </c>
      <c r="Z31" s="416">
        <f t="shared" si="54"/>
        <v>-0.19316395861208768</v>
      </c>
      <c r="AA31" s="416">
        <f t="shared" si="55"/>
        <v>-0.16991155418019055</v>
      </c>
      <c r="AB31" s="416">
        <f t="shared" si="55"/>
        <v>-0.17619177641921269</v>
      </c>
      <c r="AC31" s="427">
        <f t="shared" si="56"/>
        <v>3237.8699999999958</v>
      </c>
      <c r="AD31" s="427">
        <f t="shared" si="57"/>
        <v>3237.8699999999958</v>
      </c>
      <c r="AE31" s="430">
        <f t="shared" si="2"/>
        <v>3237.8699999999958</v>
      </c>
      <c r="AF31" s="430">
        <f t="shared" si="3"/>
        <v>3237.8699999999958</v>
      </c>
      <c r="AG31" s="427">
        <f t="shared" si="58"/>
        <v>4209.2309999999943</v>
      </c>
      <c r="AH31" s="427">
        <f t="shared" si="58"/>
        <v>4371.1244999999944</v>
      </c>
      <c r="AI31" s="427">
        <f t="shared" si="20"/>
        <v>4371.1244999999944</v>
      </c>
      <c r="AJ31" s="427">
        <f t="shared" si="21"/>
        <v>4468.2605999999942</v>
      </c>
      <c r="AK31" s="434">
        <f t="shared" si="59"/>
        <v>2.4427249290766553</v>
      </c>
      <c r="AL31" s="434">
        <f t="shared" si="60"/>
        <v>2.8498457505894312</v>
      </c>
      <c r="AM31" s="434">
        <f t="shared" si="61"/>
        <v>2.8498457505894312</v>
      </c>
      <c r="AN31" s="434">
        <f t="shared" si="62"/>
        <v>3.0941182434970971</v>
      </c>
      <c r="AO31" s="440">
        <f t="shared" si="63"/>
        <v>0.17718633546127549</v>
      </c>
      <c r="AP31" s="436">
        <f t="shared" si="64"/>
        <v>0.22718633546127553</v>
      </c>
      <c r="AQ31" s="440">
        <f t="shared" si="65"/>
        <v>0.22718633546127553</v>
      </c>
      <c r="AR31" s="436">
        <f t="shared" si="66"/>
        <v>0.25718633546127556</v>
      </c>
    </row>
    <row r="32" spans="1:44" ht="15" thickBot="1" x14ac:dyDescent="0.4">
      <c r="A32" s="57" t="s">
        <v>100</v>
      </c>
      <c r="B32" s="403">
        <f>+D64</f>
        <v>2.1004878717027777</v>
      </c>
      <c r="C32" s="403">
        <f>+G64</f>
        <v>2.0139545579809432</v>
      </c>
      <c r="D32" s="403">
        <f>+J64</f>
        <v>2.2362955771246704</v>
      </c>
      <c r="E32" s="403">
        <f>+M64</f>
        <v>1.3887802594255185</v>
      </c>
      <c r="F32" s="403">
        <f>+P64</f>
        <v>1.3860149978024436</v>
      </c>
      <c r="G32" s="403">
        <f>+S64</f>
        <v>1.4273348397663403</v>
      </c>
      <c r="H32" s="403">
        <f t="shared" si="12"/>
        <v>1.4317721229650029</v>
      </c>
      <c r="I32" s="403">
        <f t="shared" si="13"/>
        <v>1.3293889311580951</v>
      </c>
      <c r="J32" s="403">
        <f t="shared" si="14"/>
        <v>1.3745102391276744</v>
      </c>
      <c r="K32" s="411">
        <f t="shared" si="15"/>
        <v>1.4604075654243032</v>
      </c>
      <c r="L32" s="408">
        <f t="shared" si="47"/>
        <v>1.5194080310674447</v>
      </c>
      <c r="M32" s="414">
        <f t="shared" si="48"/>
        <v>1.5807921155225695</v>
      </c>
      <c r="N32" s="411">
        <f>AX64</f>
        <v>1.6446561169896814</v>
      </c>
      <c r="O32" s="417">
        <f t="shared" si="49"/>
        <v>2.8635442459300275E-2</v>
      </c>
      <c r="P32" s="392">
        <f t="shared" si="50"/>
        <v>8.7635908102441817E-2</v>
      </c>
      <c r="Q32" s="420">
        <f t="shared" si="51"/>
        <v>0.14901999255756659</v>
      </c>
      <c r="R32" s="419">
        <f t="shared" si="17"/>
        <v>0.2128839940246785</v>
      </c>
      <c r="S32" s="470">
        <v>1.7</v>
      </c>
      <c r="T32" s="470">
        <f>AH32/AD32</f>
        <v>1.7552795071281575</v>
      </c>
      <c r="U32" s="486">
        <v>0</v>
      </c>
      <c r="V32" s="486">
        <v>0.08</v>
      </c>
      <c r="W32" s="423">
        <f>+T32+U32</f>
        <v>1.7552795071281575</v>
      </c>
      <c r="X32" s="423">
        <f>+W32+V32</f>
        <v>1.8352795071281576</v>
      </c>
      <c r="Y32" s="417">
        <f t="shared" si="54"/>
        <v>-0.23959243457569679</v>
      </c>
      <c r="Z32" s="417">
        <f t="shared" si="54"/>
        <v>-0.23587147606071279</v>
      </c>
      <c r="AA32" s="417">
        <f t="shared" si="55"/>
        <v>-0.17448739160558802</v>
      </c>
      <c r="AB32" s="417">
        <f t="shared" si="55"/>
        <v>-0.19062339013847618</v>
      </c>
      <c r="AC32" s="428">
        <f t="shared" si="56"/>
        <v>6562.3549999999959</v>
      </c>
      <c r="AD32" s="428">
        <f t="shared" si="57"/>
        <v>6562.3549999999959</v>
      </c>
      <c r="AE32" s="431">
        <f t="shared" si="2"/>
        <v>6562.3549999999959</v>
      </c>
      <c r="AF32" s="431">
        <f t="shared" si="3"/>
        <v>6562.3549999999959</v>
      </c>
      <c r="AG32" s="428">
        <f>AC32*S32</f>
        <v>11156.003499999993</v>
      </c>
      <c r="AH32" s="428">
        <f>+AH30+AH31</f>
        <v>11518.767249999994</v>
      </c>
      <c r="AI32" s="428">
        <f t="shared" si="20"/>
        <v>11518.767249999994</v>
      </c>
      <c r="AJ32" s="428">
        <f t="shared" si="21"/>
        <v>12043.755649999994</v>
      </c>
      <c r="AK32" s="435">
        <f t="shared" si="59"/>
        <v>1.6212255557238422</v>
      </c>
      <c r="AL32" s="435">
        <f t="shared" si="60"/>
        <v>1.7492549123866812</v>
      </c>
      <c r="AM32" s="435">
        <f t="shared" si="61"/>
        <v>1.7492549123866812</v>
      </c>
      <c r="AN32" s="435">
        <f t="shared" si="62"/>
        <v>1.9345378330408349</v>
      </c>
      <c r="AO32" s="441">
        <f t="shared" si="63"/>
        <v>0.26822787703499706</v>
      </c>
      <c r="AP32" s="438">
        <f t="shared" si="64"/>
        <v>0.32350738416315461</v>
      </c>
      <c r="AQ32" s="441">
        <f t="shared" si="65"/>
        <v>0.32350738416315461</v>
      </c>
      <c r="AR32" s="438">
        <f t="shared" si="66"/>
        <v>0.40350738416315468</v>
      </c>
    </row>
    <row r="33" spans="1:50" s="32" customFormat="1" ht="15" thickBot="1" x14ac:dyDescent="0.4">
      <c r="B33" s="49"/>
      <c r="D33" s="47"/>
      <c r="O33" s="35"/>
      <c r="P33" s="35"/>
    </row>
    <row r="34" spans="1:50" ht="30.75" customHeight="1" thickBot="1" x14ac:dyDescent="0.4">
      <c r="B34" s="656" t="s">
        <v>234</v>
      </c>
      <c r="C34" s="657"/>
      <c r="D34" s="658"/>
      <c r="E34" s="656" t="s">
        <v>235</v>
      </c>
      <c r="F34" s="657"/>
      <c r="G34" s="658"/>
      <c r="H34" s="656" t="s">
        <v>236</v>
      </c>
      <c r="I34" s="657"/>
      <c r="J34" s="658"/>
      <c r="K34" s="656" t="s">
        <v>237</v>
      </c>
      <c r="L34" s="657"/>
      <c r="M34" s="658"/>
      <c r="N34" s="656" t="s">
        <v>147</v>
      </c>
      <c r="O34" s="657"/>
      <c r="P34" s="658"/>
      <c r="Q34" s="656" t="s">
        <v>148</v>
      </c>
      <c r="R34" s="657"/>
      <c r="S34" s="658"/>
      <c r="T34" s="656" t="s">
        <v>149</v>
      </c>
      <c r="U34" s="657"/>
      <c r="V34" s="658"/>
      <c r="W34" s="375"/>
      <c r="X34" s="650" t="s">
        <v>188</v>
      </c>
      <c r="Y34" s="651"/>
      <c r="Z34" s="652"/>
      <c r="AA34" s="656" t="s">
        <v>151</v>
      </c>
      <c r="AB34" s="657"/>
      <c r="AC34" s="658"/>
      <c r="AD34" s="650" t="s">
        <v>238</v>
      </c>
      <c r="AE34" s="651"/>
      <c r="AF34" s="652"/>
      <c r="AG34" s="656" t="s">
        <v>153</v>
      </c>
      <c r="AH34" s="657"/>
      <c r="AI34" s="658"/>
      <c r="AJ34" s="650" t="s">
        <v>239</v>
      </c>
      <c r="AK34" s="651"/>
      <c r="AL34" s="652"/>
      <c r="AM34" s="650" t="s">
        <v>240</v>
      </c>
      <c r="AN34" s="651"/>
      <c r="AO34" s="652"/>
      <c r="AP34" s="650" t="s">
        <v>241</v>
      </c>
      <c r="AQ34" s="651"/>
      <c r="AR34" s="652"/>
      <c r="AS34" s="650" t="s">
        <v>242</v>
      </c>
      <c r="AT34" s="651"/>
      <c r="AU34" s="652"/>
      <c r="AV34" s="650" t="s">
        <v>243</v>
      </c>
      <c r="AW34" s="651"/>
      <c r="AX34" s="652"/>
    </row>
    <row r="35" spans="1:50" s="96" customFormat="1" ht="82.9" customHeight="1" thickBot="1" x14ac:dyDescent="0.4">
      <c r="A35" s="53" t="s">
        <v>128</v>
      </c>
      <c r="B35" s="163" t="s">
        <v>194</v>
      </c>
      <c r="C35" s="164" t="s">
        <v>127</v>
      </c>
      <c r="D35" s="161" t="s">
        <v>244</v>
      </c>
      <c r="E35" s="163" t="str">
        <f>+$B35</f>
        <v>Interstate Miles</v>
      </c>
      <c r="F35" s="164" t="str">
        <f>+$C35</f>
        <v>Calculation</v>
      </c>
      <c r="G35" s="161" t="str">
        <f>+$D35</f>
        <v>Avg P95/ P50</v>
      </c>
      <c r="H35" s="163" t="str">
        <f>+$B35</f>
        <v>Interstate Miles</v>
      </c>
      <c r="I35" s="164" t="str">
        <f>+$C35</f>
        <v>Calculation</v>
      </c>
      <c r="J35" s="161" t="str">
        <f>+$D35</f>
        <v>Avg P95/ P50</v>
      </c>
      <c r="K35" s="163" t="str">
        <f>+$B35</f>
        <v>Interstate Miles</v>
      </c>
      <c r="L35" s="164" t="str">
        <f>+$C35</f>
        <v>Calculation</v>
      </c>
      <c r="M35" s="161" t="str">
        <f>+$D35</f>
        <v>Avg P95/ P50</v>
      </c>
      <c r="N35" s="163" t="s">
        <v>194</v>
      </c>
      <c r="O35" s="164" t="s">
        <v>127</v>
      </c>
      <c r="P35" s="161" t="s">
        <v>244</v>
      </c>
      <c r="Q35" s="163" t="s">
        <v>194</v>
      </c>
      <c r="R35" s="164" t="s">
        <v>127</v>
      </c>
      <c r="S35" s="161" t="s">
        <v>244</v>
      </c>
      <c r="T35" s="163" t="s">
        <v>194</v>
      </c>
      <c r="U35" s="164" t="s">
        <v>127</v>
      </c>
      <c r="V35" s="161" t="s">
        <v>244</v>
      </c>
      <c r="W35" s="269" t="s">
        <v>245</v>
      </c>
      <c r="X35" s="263" t="str">
        <f>+$B35</f>
        <v>Interstate Miles</v>
      </c>
      <c r="Y35" s="253" t="str">
        <f>+$C35</f>
        <v>Calculation</v>
      </c>
      <c r="Z35" s="254" t="str">
        <f>+$D35</f>
        <v>Avg P95/ P50</v>
      </c>
      <c r="AA35" s="163" t="s">
        <v>194</v>
      </c>
      <c r="AB35" s="164" t="s">
        <v>127</v>
      </c>
      <c r="AC35" s="161" t="s">
        <v>244</v>
      </c>
      <c r="AD35" s="263" t="str">
        <f>+$B35</f>
        <v>Interstate Miles</v>
      </c>
      <c r="AE35" s="253" t="str">
        <f>+$C35</f>
        <v>Calculation</v>
      </c>
      <c r="AF35" s="254" t="str">
        <f>+$D35</f>
        <v>Avg P95/ P50</v>
      </c>
      <c r="AG35" s="163" t="s">
        <v>194</v>
      </c>
      <c r="AH35" s="164" t="s">
        <v>127</v>
      </c>
      <c r="AI35" s="161" t="s">
        <v>244</v>
      </c>
      <c r="AJ35" s="263" t="str">
        <f>+$B35</f>
        <v>Interstate Miles</v>
      </c>
      <c r="AK35" s="253" t="str">
        <f>+$C35</f>
        <v>Calculation</v>
      </c>
      <c r="AL35" s="254" t="str">
        <f>+$D35</f>
        <v>Avg P95/ P50</v>
      </c>
      <c r="AM35" s="263" t="str">
        <f>+$B35</f>
        <v>Interstate Miles</v>
      </c>
      <c r="AN35" s="253" t="str">
        <f>+$C35</f>
        <v>Calculation</v>
      </c>
      <c r="AO35" s="254" t="str">
        <f>+$D35</f>
        <v>Avg P95/ P50</v>
      </c>
      <c r="AP35" s="263" t="str">
        <f>+$B35</f>
        <v>Interstate Miles</v>
      </c>
      <c r="AQ35" s="253" t="str">
        <f>+$C35</f>
        <v>Calculation</v>
      </c>
      <c r="AR35" s="254" t="str">
        <f>+$D35</f>
        <v>Avg P95/ P50</v>
      </c>
      <c r="AS35" s="263" t="str">
        <f>+$B35</f>
        <v>Interstate Miles</v>
      </c>
      <c r="AT35" s="253" t="str">
        <f>+$C35</f>
        <v>Calculation</v>
      </c>
      <c r="AU35" s="254" t="str">
        <f>+$D35</f>
        <v>Avg P95/ P50</v>
      </c>
      <c r="AV35" s="263" t="str">
        <f>+$B35</f>
        <v>Interstate Miles</v>
      </c>
      <c r="AW35" s="253" t="str">
        <f>+$C35</f>
        <v>Calculation</v>
      </c>
      <c r="AX35" s="254" t="str">
        <f>+$D35</f>
        <v>Avg P95/ P50</v>
      </c>
    </row>
    <row r="36" spans="1:50" x14ac:dyDescent="0.35">
      <c r="A36" s="66" t="s">
        <v>71</v>
      </c>
      <c r="B36" s="386">
        <f>'2014 RAW DATA'!B35</f>
        <v>90.719030000000004</v>
      </c>
      <c r="C36" s="387">
        <f>+B36*+D36</f>
        <v>194.41390050000001</v>
      </c>
      <c r="D36" s="388">
        <f>'2014 RAW DATA'!D35</f>
        <v>2.1430332808893571</v>
      </c>
      <c r="E36" s="178">
        <f>'2015 RAW DATA'!B35</f>
        <v>100.1318</v>
      </c>
      <c r="F36" s="179">
        <f>+E36*+G36</f>
        <v>295.29803579999998</v>
      </c>
      <c r="G36" s="180">
        <f>'2015 RAW DATA'!D35</f>
        <v>2.949093452829171</v>
      </c>
      <c r="H36" s="178">
        <f>'2016 RAW DATA'!B35</f>
        <v>100.91829</v>
      </c>
      <c r="I36" s="179">
        <f>+H36*+J36</f>
        <v>262.67143249999998</v>
      </c>
      <c r="J36" s="180">
        <f>'2016 RAW DATA'!D35</f>
        <v>2.6028129539253984</v>
      </c>
      <c r="K36" s="178">
        <f>'2017 RAW DATA'!B35</f>
        <v>40.9</v>
      </c>
      <c r="L36" s="179">
        <f>+K36*+M36</f>
        <v>45.1</v>
      </c>
      <c r="M36" s="180">
        <f>'2017 RAW DATA'!D35</f>
        <v>1.1026894865525674</v>
      </c>
      <c r="N36" s="178">
        <f>'2017 NEW RAW DATA '!B36</f>
        <v>40.905000000000001</v>
      </c>
      <c r="O36" s="179">
        <f>'2017 NEW RAW DATA '!C36</f>
        <v>45.072650000000003</v>
      </c>
      <c r="P36" s="180">
        <f>'2017 NEW RAW DATA '!D36</f>
        <v>1.1018860774966386</v>
      </c>
      <c r="Q36" s="178">
        <f>'2018 RAW DATA'!B36</f>
        <v>40.905000000000001</v>
      </c>
      <c r="R36" s="179">
        <f>'2018 RAW DATA'!C36</f>
        <v>45.458890000000004</v>
      </c>
      <c r="S36" s="180">
        <f>'2018 RAW DATA'!D36</f>
        <v>1.1113284439555067</v>
      </c>
      <c r="T36" s="178">
        <f>'2019 RAW DATA'!B36</f>
        <v>34.378</v>
      </c>
      <c r="U36" s="179">
        <f>'2019 RAW DATA'!C36</f>
        <v>37.463799999999992</v>
      </c>
      <c r="V36" s="180">
        <f>'2019 RAW DATA'!D36</f>
        <v>1.0897608935947405</v>
      </c>
      <c r="W36" s="376">
        <v>0.01</v>
      </c>
      <c r="X36" s="389">
        <f>+T36</f>
        <v>34.378</v>
      </c>
      <c r="Y36" s="390">
        <f>+U36*(100%+$W$36)</f>
        <v>37.838437999999989</v>
      </c>
      <c r="Z36" s="391">
        <f>+Y36/X36</f>
        <v>1.1006585025306879</v>
      </c>
      <c r="AA36" s="393">
        <f>'2020 RAW DATA'!B36</f>
        <v>39.390999999999991</v>
      </c>
      <c r="AB36" s="394">
        <f>'2020 RAW DATA'!C36</f>
        <v>42.268240000000006</v>
      </c>
      <c r="AC36" s="395">
        <f>'2020 RAW DATA'!D36</f>
        <v>1.0730430809068066</v>
      </c>
      <c r="AD36" s="377">
        <f>+X36</f>
        <v>34.378</v>
      </c>
      <c r="AE36" s="378">
        <f>+U36*(100%+W36)^2</f>
        <v>38.216822379999989</v>
      </c>
      <c r="AF36" s="379">
        <f>+AE36/AD36</f>
        <v>1.1116650875559948</v>
      </c>
      <c r="AG36" s="393">
        <f>'2021 RAW Data'!B36</f>
        <v>41.054999999999993</v>
      </c>
      <c r="AH36" s="394">
        <f>'2021 RAW Data'!C36</f>
        <v>44.851039999999976</v>
      </c>
      <c r="AI36" s="399">
        <f>+AH36/AG36</f>
        <v>1.0924623066617947</v>
      </c>
      <c r="AJ36" s="389">
        <f>+AD36</f>
        <v>34.378</v>
      </c>
      <c r="AK36" s="390">
        <f>+U36*(100%+W36)^3</f>
        <v>38.59899060379999</v>
      </c>
      <c r="AL36" s="391">
        <f>+AK36/AJ36</f>
        <v>1.1227817384315548</v>
      </c>
      <c r="AM36" s="389">
        <f>+AJ36</f>
        <v>34.378</v>
      </c>
      <c r="AN36" s="390">
        <f t="shared" ref="AN36:AN64" si="69">+U36*(100%+W36)^4</f>
        <v>38.984980509837996</v>
      </c>
      <c r="AO36" s="391">
        <f>+AN36/AM36</f>
        <v>1.1340095558158705</v>
      </c>
      <c r="AP36" s="389">
        <f>+AM36</f>
        <v>34.378</v>
      </c>
      <c r="AQ36" s="390">
        <f>+U36*(100%+W36)^5</f>
        <v>39.374830314936368</v>
      </c>
      <c r="AR36" s="391">
        <f>+AQ36/AP36</f>
        <v>1.1453496513740289</v>
      </c>
      <c r="AS36" s="389">
        <f>+AP36</f>
        <v>34.378</v>
      </c>
      <c r="AT36" s="390">
        <f>+U36*(100%+W36)^6</f>
        <v>39.768578618085741</v>
      </c>
      <c r="AU36" s="391">
        <f>+AT36/AS36</f>
        <v>1.1568031478877696</v>
      </c>
      <c r="AV36" s="389">
        <f>+AS36</f>
        <v>34.378</v>
      </c>
      <c r="AW36" s="390">
        <f>+U36*(100%+W36)^7</f>
        <v>40.166264404266585</v>
      </c>
      <c r="AX36" s="391">
        <f>+AW36/AV36</f>
        <v>1.1683711793666469</v>
      </c>
    </row>
    <row r="37" spans="1:50" x14ac:dyDescent="0.35">
      <c r="A37" s="67" t="s">
        <v>72</v>
      </c>
      <c r="B37" s="178">
        <f>'2014 RAW DATA'!B36</f>
        <v>147.73835</v>
      </c>
      <c r="C37" s="179">
        <f t="shared" ref="C37:C63" si="70">+B37*+D37</f>
        <v>246.792157</v>
      </c>
      <c r="D37" s="180">
        <f>'2014 RAW DATA'!D36</f>
        <v>1.6704678033834817</v>
      </c>
      <c r="E37" s="178">
        <f>'2015 RAW DATA'!B36</f>
        <v>147.75352000000001</v>
      </c>
      <c r="F37" s="179">
        <v>246.7226398</v>
      </c>
      <c r="G37" s="180">
        <f>'2015 RAW DATA'!D36</f>
        <v>1.669825800427631</v>
      </c>
      <c r="H37" s="178">
        <f>'2016 RAW DATA'!B36</f>
        <v>147.75354999999999</v>
      </c>
      <c r="I37" s="179">
        <f t="shared" ref="I37:I63" si="71">+H37*+J37</f>
        <v>252.8038525</v>
      </c>
      <c r="J37" s="180">
        <f>'2016 RAW DATA'!D36</f>
        <v>1.7109832724831318</v>
      </c>
      <c r="K37" s="178">
        <f>'2017 RAW DATA'!B36</f>
        <v>81.400000000000006</v>
      </c>
      <c r="L37" s="179">
        <f t="shared" ref="L37:L63" si="72">+K37*+M37</f>
        <v>96.5</v>
      </c>
      <c r="M37" s="180">
        <f>'2017 RAW DATA'!D36</f>
        <v>1.1855036855036853</v>
      </c>
      <c r="N37" s="178">
        <f>'2017 NEW RAW DATA '!B37</f>
        <v>81.397000000000006</v>
      </c>
      <c r="O37" s="179">
        <f>'2017 NEW RAW DATA '!C37</f>
        <v>96.540710000000033</v>
      </c>
      <c r="P37" s="180">
        <f>'2017 NEW RAW DATA '!D37</f>
        <v>1.1860475201788767</v>
      </c>
      <c r="Q37" s="178">
        <f>'2018 RAW DATA'!B37</f>
        <v>81.692000000000007</v>
      </c>
      <c r="R37" s="179">
        <f>'2018 RAW DATA'!C37</f>
        <v>100.38490999999999</v>
      </c>
      <c r="S37" s="180">
        <f>'2018 RAW DATA'!D37</f>
        <v>1.2288217940557213</v>
      </c>
      <c r="T37" s="178">
        <f>'2019 RAW DATA'!B37</f>
        <v>69.094000000000008</v>
      </c>
      <c r="U37" s="179">
        <f>'2019 RAW DATA'!C37</f>
        <v>83.995020000000025</v>
      </c>
      <c r="V37" s="180">
        <f>'2019 RAW DATA'!D37</f>
        <v>1.215663009812719</v>
      </c>
      <c r="W37" s="376">
        <v>0.01</v>
      </c>
      <c r="X37" s="377">
        <f>+T37</f>
        <v>69.094000000000008</v>
      </c>
      <c r="Y37" s="378">
        <f>+U37*(100%+W37)</f>
        <v>84.834970200000029</v>
      </c>
      <c r="Z37" s="379">
        <f>+Y37/X37</f>
        <v>1.2278196399108463</v>
      </c>
      <c r="AA37" s="396">
        <f>'2020 RAW DATA'!B37</f>
        <v>110.584</v>
      </c>
      <c r="AB37" s="397">
        <f>'2020 RAW DATA'!C37</f>
        <v>125.69360999999999</v>
      </c>
      <c r="AC37" s="398">
        <f>'2020 RAW DATA'!D37</f>
        <v>1.1366346849453808</v>
      </c>
      <c r="AD37" s="377">
        <f>+X37</f>
        <v>69.094000000000008</v>
      </c>
      <c r="AE37" s="378">
        <f>+U37*(100%+W37)^2</f>
        <v>85.683319902000022</v>
      </c>
      <c r="AF37" s="379">
        <f>+AE37/AD37</f>
        <v>1.2400978363099546</v>
      </c>
      <c r="AG37" s="396">
        <f>'2021 RAW Data'!B37</f>
        <v>110.58099999999996</v>
      </c>
      <c r="AH37" s="397">
        <f>'2021 RAW Data'!C37</f>
        <v>129.53964999999999</v>
      </c>
      <c r="AI37" s="400">
        <f>+AH37/AG37</f>
        <v>1.1714458179976672</v>
      </c>
      <c r="AJ37" s="377">
        <f>+AD37</f>
        <v>69.094000000000008</v>
      </c>
      <c r="AK37" s="378">
        <f>+U37*(100%+W37)^3</f>
        <v>86.540153101020024</v>
      </c>
      <c r="AL37" s="379">
        <f>+AK37/AJ37</f>
        <v>1.2524988146730542</v>
      </c>
      <c r="AM37" s="377">
        <f t="shared" ref="AM37:AM64" si="73">+AJ37</f>
        <v>69.094000000000008</v>
      </c>
      <c r="AN37" s="378">
        <f t="shared" si="69"/>
        <v>87.405554632030231</v>
      </c>
      <c r="AO37" s="379">
        <f t="shared" ref="AO37:AO64" si="74">+AN37/AM37</f>
        <v>1.2650238028197849</v>
      </c>
      <c r="AP37" s="377">
        <f t="shared" ref="AP37:AP64" si="75">+AM37</f>
        <v>69.094000000000008</v>
      </c>
      <c r="AQ37" s="378">
        <f>+U37*(100%+W37)^5</f>
        <v>88.279610178350524</v>
      </c>
      <c r="AR37" s="379">
        <f>+AQ37/AP37</f>
        <v>1.2776740408479828</v>
      </c>
      <c r="AS37" s="377">
        <f t="shared" ref="AS37:AS64" si="76">+AP37</f>
        <v>69.094000000000008</v>
      </c>
      <c r="AT37" s="378">
        <f t="shared" ref="AT37:AT64" si="77">+U37*(100%+W37)^6</f>
        <v>89.16240628013405</v>
      </c>
      <c r="AU37" s="379">
        <f>+AT37/AS37</f>
        <v>1.2904507812564627</v>
      </c>
      <c r="AV37" s="377">
        <f t="shared" ref="AV37:AV64" si="78">+AS37</f>
        <v>69.094000000000008</v>
      </c>
      <c r="AW37" s="378">
        <f t="shared" ref="AW37:AW64" si="79">+U37*(100%+W37)^7</f>
        <v>90.054030342935363</v>
      </c>
      <c r="AX37" s="379">
        <f>+AW37/AV37</f>
        <v>1.303355289069027</v>
      </c>
    </row>
    <row r="38" spans="1:50" x14ac:dyDescent="0.35">
      <c r="A38" t="s">
        <v>73</v>
      </c>
      <c r="B38" s="178">
        <f>'2014 RAW DATA'!B37</f>
        <v>182.44764000000001</v>
      </c>
      <c r="C38" s="179">
        <f t="shared" si="70"/>
        <v>396.63435609999999</v>
      </c>
      <c r="D38" s="180">
        <f>'2014 RAW DATA'!D37</f>
        <v>2.1739626563544476</v>
      </c>
      <c r="E38" s="178">
        <f>'2015 RAW DATA'!B37</f>
        <v>192.20520999999999</v>
      </c>
      <c r="F38" s="179">
        <v>495.82838299999997</v>
      </c>
      <c r="G38" s="180">
        <f>'2015 RAW DATA'!D37</f>
        <v>2.5796823249484238</v>
      </c>
      <c r="H38" s="178">
        <f>'2016 RAW DATA'!B37</f>
        <v>192.20528999999999</v>
      </c>
      <c r="I38" s="179">
        <f t="shared" si="71"/>
        <v>507.51333149999999</v>
      </c>
      <c r="J38" s="180">
        <f>'2016 RAW DATA'!D37</f>
        <v>2.6404753558031624</v>
      </c>
      <c r="K38" s="178">
        <f>'2017 RAW DATA'!B37</f>
        <v>191.4</v>
      </c>
      <c r="L38" s="179">
        <f t="shared" si="72"/>
        <v>341.8</v>
      </c>
      <c r="M38" s="180">
        <f>'2017 RAW DATA'!D37</f>
        <v>1.7857889237199582</v>
      </c>
      <c r="N38" s="178">
        <f>'2017 NEW RAW DATA '!B38</f>
        <v>189.40199999999996</v>
      </c>
      <c r="O38" s="179">
        <f>'2017 NEW RAW DATA '!C38</f>
        <v>336.10387999999989</v>
      </c>
      <c r="P38" s="180">
        <f>'2017 NEW RAW DATA '!D38</f>
        <v>1.7745529614259614</v>
      </c>
      <c r="Q38" s="178">
        <f>'2018 RAW DATA'!B38</f>
        <v>183.56899999999999</v>
      </c>
      <c r="R38" s="179">
        <f>'2018 RAW DATA'!C38</f>
        <v>335.73921999999993</v>
      </c>
      <c r="S38" s="180">
        <f>'2018 RAW DATA'!D38</f>
        <v>1.8289537993887854</v>
      </c>
      <c r="T38" s="178">
        <f>'2019 RAW DATA'!B38</f>
        <v>161.86799999999999</v>
      </c>
      <c r="U38" s="179">
        <f>'2019 RAW DATA'!C38</f>
        <v>312.46951000000013</v>
      </c>
      <c r="V38" s="180">
        <f>'2019 RAW DATA'!D38</f>
        <v>1.9303970519188483</v>
      </c>
      <c r="W38" s="376">
        <v>0.02</v>
      </c>
      <c r="X38" s="377">
        <f>+T38</f>
        <v>161.86799999999999</v>
      </c>
      <c r="Y38" s="378">
        <f>+U38*(100%+W38)</f>
        <v>318.71890020000012</v>
      </c>
      <c r="Z38" s="379">
        <f>+Y38/X38</f>
        <v>1.9690049929572253</v>
      </c>
      <c r="AA38" s="396">
        <f>'2020 RAW DATA'!B38</f>
        <v>183.22200000000001</v>
      </c>
      <c r="AB38" s="397">
        <f>'2020 RAW DATA'!C38</f>
        <v>354.45773999999994</v>
      </c>
      <c r="AC38" s="398">
        <f>'2020 RAW DATA'!D38</f>
        <v>1.9345806726266492</v>
      </c>
      <c r="AD38" s="377">
        <f>+X38</f>
        <v>161.86799999999999</v>
      </c>
      <c r="AE38" s="378">
        <f>+U38*(100%+W38)^2</f>
        <v>325.09327820400011</v>
      </c>
      <c r="AF38" s="379">
        <f>+AE38/AD38</f>
        <v>2.0083850928163698</v>
      </c>
      <c r="AG38" s="396">
        <f>'2021 RAW Data'!B38</f>
        <v>183.22199999999998</v>
      </c>
      <c r="AH38" s="397">
        <f>'2021 RAW Data'!C38</f>
        <v>313.60457000000014</v>
      </c>
      <c r="AI38" s="400">
        <f>+AH38/AG38</f>
        <v>1.7116097957668848</v>
      </c>
      <c r="AJ38" s="377">
        <f>+AD38</f>
        <v>161.86799999999999</v>
      </c>
      <c r="AK38" s="378">
        <f>+U38*(100%+W38)^3</f>
        <v>331.59514376808011</v>
      </c>
      <c r="AL38" s="379">
        <f>+AK38/AJ38</f>
        <v>2.0485527946726969</v>
      </c>
      <c r="AM38" s="377">
        <f t="shared" si="73"/>
        <v>161.86799999999999</v>
      </c>
      <c r="AN38" s="378">
        <f t="shared" si="69"/>
        <v>338.22704664344172</v>
      </c>
      <c r="AO38" s="379">
        <f t="shared" si="74"/>
        <v>2.0895238505661511</v>
      </c>
      <c r="AP38" s="377">
        <f t="shared" si="75"/>
        <v>161.86799999999999</v>
      </c>
      <c r="AQ38" s="378">
        <f>+U38*(100%+W38)^5</f>
        <v>344.99158757631056</v>
      </c>
      <c r="AR38" s="379">
        <f>+AQ38/AP38</f>
        <v>2.1313143275774742</v>
      </c>
      <c r="AS38" s="377">
        <f t="shared" si="76"/>
        <v>161.86799999999999</v>
      </c>
      <c r="AT38" s="378">
        <f t="shared" si="77"/>
        <v>351.89141932783679</v>
      </c>
      <c r="AU38" s="379">
        <f>+AT38/AS38</f>
        <v>2.1739406141290236</v>
      </c>
      <c r="AV38" s="377">
        <f t="shared" si="78"/>
        <v>161.86799999999999</v>
      </c>
      <c r="AW38" s="378">
        <f t="shared" si="79"/>
        <v>358.92924771439345</v>
      </c>
      <c r="AX38" s="379">
        <f>+AW38/AV38</f>
        <v>2.2174194264116038</v>
      </c>
    </row>
    <row r="39" spans="1:50" x14ac:dyDescent="0.35">
      <c r="A39" t="s">
        <v>74</v>
      </c>
      <c r="B39" s="178">
        <f>'2014 RAW DATA'!B38</f>
        <v>98.935990000000004</v>
      </c>
      <c r="C39" s="179">
        <f t="shared" si="70"/>
        <v>162.99013600000001</v>
      </c>
      <c r="D39" s="180">
        <f>'2014 RAW DATA'!D38</f>
        <v>1.6474301818782022</v>
      </c>
      <c r="E39" s="178">
        <f>'2015 RAW DATA'!B38</f>
        <v>98.936019999999999</v>
      </c>
      <c r="F39" s="179">
        <v>158.78595010000001</v>
      </c>
      <c r="G39" s="180">
        <f>'2015 RAW DATA'!D38</f>
        <v>1.6049356958163468</v>
      </c>
      <c r="H39" s="178">
        <f>'2016 RAW DATA'!B38</f>
        <v>98.936049999999994</v>
      </c>
      <c r="I39" s="179">
        <f t="shared" si="71"/>
        <v>123.38379040000001</v>
      </c>
      <c r="J39" s="180">
        <f>'2016 RAW DATA'!D38</f>
        <v>1.2471064935379976</v>
      </c>
      <c r="K39" s="178">
        <f>'2017 RAW DATA'!B38</f>
        <v>106.5</v>
      </c>
      <c r="L39" s="179">
        <f t="shared" si="72"/>
        <v>133.5</v>
      </c>
      <c r="M39" s="180">
        <f>'2017 RAW DATA'!D38</f>
        <v>1.2535211267605635</v>
      </c>
      <c r="N39" s="178">
        <f>'2017 NEW RAW DATA '!B39</f>
        <v>99.181999999999988</v>
      </c>
      <c r="O39" s="179">
        <f>'2017 NEW RAW DATA '!C39</f>
        <v>125.5351</v>
      </c>
      <c r="P39" s="180">
        <f>'2017 NEW RAW DATA '!D39</f>
        <v>1.265704462503277</v>
      </c>
      <c r="Q39" s="178">
        <f>'2018 RAW DATA'!B39</f>
        <v>96.224000000000004</v>
      </c>
      <c r="R39" s="179">
        <f>'2018 RAW DATA'!C39</f>
        <v>119.07458999999994</v>
      </c>
      <c r="S39" s="180">
        <f>'2018 RAW DATA'!D39</f>
        <v>1.237472875789823</v>
      </c>
      <c r="T39" s="178">
        <f>'2019 RAW DATA'!B39</f>
        <v>88.942999999999984</v>
      </c>
      <c r="U39" s="179">
        <f>'2019 RAW DATA'!C39</f>
        <v>113.25240999999995</v>
      </c>
      <c r="V39" s="180">
        <f>'2019 RAW DATA'!D39</f>
        <v>1.2733144823088942</v>
      </c>
      <c r="W39" s="376">
        <v>0.02</v>
      </c>
      <c r="X39" s="377">
        <f>+T39</f>
        <v>88.942999999999984</v>
      </c>
      <c r="Y39" s="378">
        <f>+U39*(100%+W39)</f>
        <v>115.51745819999995</v>
      </c>
      <c r="Z39" s="379">
        <f>+Y39/X39</f>
        <v>1.2987807719550721</v>
      </c>
      <c r="AA39" s="396">
        <f>'2020 RAW DATA'!B39</f>
        <v>107.51999999999997</v>
      </c>
      <c r="AB39" s="397">
        <f>'2020 RAW DATA'!C39</f>
        <v>123.55644999999996</v>
      </c>
      <c r="AC39" s="398">
        <f>'2020 RAW DATA'!D39</f>
        <v>1.1491485305059523</v>
      </c>
      <c r="AD39" s="377">
        <f>+X39</f>
        <v>88.942999999999984</v>
      </c>
      <c r="AE39" s="378">
        <f>+U39*(100%+W39)^2</f>
        <v>117.82780736399995</v>
      </c>
      <c r="AF39" s="379">
        <f>+AE39/AD39</f>
        <v>1.3247563873941735</v>
      </c>
      <c r="AG39" s="396">
        <f>'2021 RAW Data'!B39</f>
        <v>106.15199999999997</v>
      </c>
      <c r="AH39" s="397">
        <f>'2021 RAW Data'!C39</f>
        <v>141.90958000000003</v>
      </c>
      <c r="AI39" s="400">
        <f>+AH39/AG39</f>
        <v>1.3368526264224891</v>
      </c>
      <c r="AJ39" s="377">
        <f>+AD39</f>
        <v>88.942999999999984</v>
      </c>
      <c r="AK39" s="378">
        <f>+U39*(100%+W39)^3</f>
        <v>120.18436351127994</v>
      </c>
      <c r="AL39" s="379">
        <f>+AK39/AJ39</f>
        <v>1.3512515151420568</v>
      </c>
      <c r="AM39" s="377">
        <f t="shared" si="73"/>
        <v>88.942999999999984</v>
      </c>
      <c r="AN39" s="378">
        <f t="shared" si="69"/>
        <v>122.58805078150554</v>
      </c>
      <c r="AO39" s="379">
        <f t="shared" si="74"/>
        <v>1.378276545444898</v>
      </c>
      <c r="AP39" s="377">
        <f t="shared" si="75"/>
        <v>88.942999999999984</v>
      </c>
      <c r="AQ39" s="378">
        <f>+U39*(100%+W39)^5</f>
        <v>125.03981179713567</v>
      </c>
      <c r="AR39" s="379">
        <f>+AQ39/AP39</f>
        <v>1.4058420763537962</v>
      </c>
      <c r="AS39" s="377">
        <f t="shared" si="76"/>
        <v>88.942999999999984</v>
      </c>
      <c r="AT39" s="378">
        <f t="shared" si="77"/>
        <v>127.54060803307839</v>
      </c>
      <c r="AU39" s="379">
        <f>+AT39/AS39</f>
        <v>1.433958917880872</v>
      </c>
      <c r="AV39" s="377">
        <f t="shared" si="78"/>
        <v>88.942999999999984</v>
      </c>
      <c r="AW39" s="378">
        <f t="shared" si="79"/>
        <v>130.09142019373994</v>
      </c>
      <c r="AX39" s="379">
        <f>+AW39/AV39</f>
        <v>1.4626380962384893</v>
      </c>
    </row>
    <row r="40" spans="1:50" x14ac:dyDescent="0.35">
      <c r="A40" t="s">
        <v>75</v>
      </c>
      <c r="B40" s="178"/>
      <c r="C40" s="179"/>
      <c r="D40" s="180"/>
      <c r="E40" s="178"/>
      <c r="F40" s="179"/>
      <c r="G40" s="180"/>
      <c r="H40" s="178"/>
      <c r="I40" s="179"/>
      <c r="J40" s="180"/>
      <c r="K40" s="178">
        <f>'2017 RAW DATA'!B39</f>
        <v>38.1</v>
      </c>
      <c r="L40" s="179">
        <f>+K40*+M40</f>
        <v>52.5</v>
      </c>
      <c r="M40" s="180">
        <f>'2017 RAW DATA'!D39</f>
        <v>1.3779527559055118</v>
      </c>
      <c r="N40" s="178">
        <f>'2017 NEW RAW DATA '!B40</f>
        <v>35.942000000000007</v>
      </c>
      <c r="O40" s="179">
        <f>'2017 NEW RAW DATA '!C40</f>
        <v>46.912879999999987</v>
      </c>
      <c r="P40" s="180">
        <f>'2017 NEW RAW DATA '!D40</f>
        <v>1.3052384397084185</v>
      </c>
      <c r="Q40" s="178">
        <f>'2018 RAW DATA'!B40</f>
        <v>42.884999999999991</v>
      </c>
      <c r="R40" s="179">
        <f>'2018 RAW DATA'!C40</f>
        <v>61.534469999999978</v>
      </c>
      <c r="S40" s="180">
        <f>'2018 RAW DATA'!D40</f>
        <v>1.434871633438265</v>
      </c>
      <c r="T40" s="178">
        <f>'2019 RAW DATA'!B40</f>
        <v>41.429000000000002</v>
      </c>
      <c r="U40" s="179">
        <f>'2019 RAW DATA'!C40</f>
        <v>60.007039999999996</v>
      </c>
      <c r="V40" s="180">
        <f>'2019 RAW DATA'!D40</f>
        <v>1.4484308093364551</v>
      </c>
      <c r="W40" s="376">
        <v>0.02</v>
      </c>
      <c r="X40" s="377">
        <f>+T40</f>
        <v>41.429000000000002</v>
      </c>
      <c r="Y40" s="378">
        <f>+U40*(100%+W40)</f>
        <v>61.207180799999996</v>
      </c>
      <c r="Z40" s="379">
        <f>+Y40/X40</f>
        <v>1.4773994255231842</v>
      </c>
      <c r="AA40" s="396">
        <f>'2020 RAW DATA'!B40</f>
        <v>96.043999999999997</v>
      </c>
      <c r="AB40" s="397">
        <f>'2020 RAW DATA'!C40</f>
        <v>143.19580999999999</v>
      </c>
      <c r="AC40" s="398">
        <f>'2020 RAW DATA'!D40</f>
        <v>1.4909396734829869</v>
      </c>
      <c r="AD40" s="377">
        <f>+X40</f>
        <v>41.429000000000002</v>
      </c>
      <c r="AE40" s="378">
        <f>+U40*(100%+W40)^2</f>
        <v>62.431324415999995</v>
      </c>
      <c r="AF40" s="379">
        <f>+AE40/AD40</f>
        <v>1.5069474140336478</v>
      </c>
      <c r="AG40" s="396">
        <f>'2021 RAW Data'!B40</f>
        <v>49.434999999999981</v>
      </c>
      <c r="AH40" s="397">
        <f>'2021 RAW Data'!C40</f>
        <v>72.342980000000011</v>
      </c>
      <c r="AI40" s="400">
        <f>+AH40/AG40</f>
        <v>1.4633959745119862</v>
      </c>
      <c r="AJ40" s="377">
        <f>+AD40</f>
        <v>41.429000000000002</v>
      </c>
      <c r="AK40" s="378">
        <f>+U40*(100%+W40)^3</f>
        <v>63.679950904319995</v>
      </c>
      <c r="AL40" s="379">
        <f>+AK40/AJ40</f>
        <v>1.5370863623143207</v>
      </c>
      <c r="AM40" s="377">
        <f>+AJ40</f>
        <v>41.429000000000002</v>
      </c>
      <c r="AN40" s="378">
        <f t="shared" si="69"/>
        <v>64.953549922406395</v>
      </c>
      <c r="AO40" s="379">
        <f t="shared" si="74"/>
        <v>1.5678280895606072</v>
      </c>
      <c r="AP40" s="377">
        <f>+AM40</f>
        <v>41.429000000000002</v>
      </c>
      <c r="AQ40" s="378">
        <f>+U40*(100%+W40)^5</f>
        <v>66.252620920854525</v>
      </c>
      <c r="AR40" s="379">
        <f>+AQ40/AP40</f>
        <v>1.5991846513518193</v>
      </c>
      <c r="AS40" s="377">
        <f>+AP40</f>
        <v>41.429000000000002</v>
      </c>
      <c r="AT40" s="378">
        <f t="shared" si="77"/>
        <v>67.577673339271612</v>
      </c>
      <c r="AU40" s="379">
        <f>+AT40/AS40</f>
        <v>1.6311683443788556</v>
      </c>
      <c r="AV40" s="377">
        <f>+AS40</f>
        <v>41.429000000000002</v>
      </c>
      <c r="AW40" s="378">
        <f t="shared" si="79"/>
        <v>68.929226806057031</v>
      </c>
      <c r="AX40" s="379">
        <f>+AW40/AV40</f>
        <v>1.6637917112664324</v>
      </c>
    </row>
    <row r="41" spans="1:50" x14ac:dyDescent="0.35">
      <c r="A41" t="s">
        <v>76</v>
      </c>
      <c r="B41" s="178"/>
      <c r="C41" s="179"/>
      <c r="D41" s="180"/>
      <c r="E41" s="178"/>
      <c r="F41" s="179"/>
      <c r="G41" s="180"/>
      <c r="H41" s="178"/>
      <c r="I41" s="179"/>
      <c r="J41" s="180"/>
      <c r="K41" s="178"/>
      <c r="L41" s="179"/>
      <c r="M41" s="180"/>
      <c r="N41" s="178"/>
      <c r="O41" s="179"/>
      <c r="P41" s="179"/>
      <c r="Q41" s="178"/>
      <c r="R41" s="179"/>
      <c r="S41" s="179"/>
      <c r="T41" s="178"/>
      <c r="U41" s="179"/>
      <c r="V41" s="179"/>
      <c r="W41" s="376"/>
      <c r="X41" s="380"/>
      <c r="Y41" s="381"/>
      <c r="Z41" s="385"/>
      <c r="AA41" s="396"/>
      <c r="AB41" s="397"/>
      <c r="AC41" s="398"/>
      <c r="AD41" s="380"/>
      <c r="AE41" s="381"/>
      <c r="AF41" s="385"/>
      <c r="AG41" s="396"/>
      <c r="AH41" s="397"/>
      <c r="AI41" s="401"/>
      <c r="AJ41" s="380"/>
      <c r="AK41" s="381"/>
      <c r="AL41" s="385"/>
      <c r="AM41" s="380"/>
      <c r="AN41" s="378"/>
      <c r="AO41" s="379"/>
      <c r="AP41" s="380"/>
      <c r="AQ41" s="378"/>
      <c r="AR41" s="379"/>
      <c r="AS41" s="380"/>
      <c r="AT41" s="378"/>
      <c r="AU41" s="379"/>
      <c r="AV41" s="380"/>
      <c r="AW41" s="378"/>
      <c r="AX41" s="379"/>
    </row>
    <row r="42" spans="1:50" x14ac:dyDescent="0.35">
      <c r="A42" t="s">
        <v>77</v>
      </c>
      <c r="B42" s="178">
        <f>'2014 RAW DATA'!B41</f>
        <v>82.798310000000001</v>
      </c>
      <c r="C42" s="179">
        <f t="shared" si="70"/>
        <v>96.369046969999999</v>
      </c>
      <c r="D42" s="180">
        <f>'2014 RAW DATA'!D41</f>
        <v>1.1639011348178483</v>
      </c>
      <c r="E42" s="178">
        <f>'2015 RAW DATA'!B41</f>
        <v>86.523690000000002</v>
      </c>
      <c r="F42" s="179">
        <v>105.61918799999999</v>
      </c>
      <c r="G42" s="180">
        <f>'2015 RAW DATA'!D41</f>
        <v>1.2206967594655289</v>
      </c>
      <c r="H42" s="178">
        <f>'2016 RAW DATA'!B41</f>
        <v>86.523949999999999</v>
      </c>
      <c r="I42" s="179">
        <f t="shared" si="71"/>
        <v>105.83203039999998</v>
      </c>
      <c r="J42" s="180">
        <f>'2016 RAW DATA'!D41</f>
        <v>1.2231530160146409</v>
      </c>
      <c r="K42" s="178">
        <f>'2017 RAW DATA'!B41</f>
        <v>46.5</v>
      </c>
      <c r="L42" s="179">
        <f t="shared" si="72"/>
        <v>53.699999999999996</v>
      </c>
      <c r="M42" s="180">
        <f>'2017 RAW DATA'!D41</f>
        <v>1.1548387096774193</v>
      </c>
      <c r="N42" s="178">
        <f>'2017 NEW RAW DATA '!B42</f>
        <v>46.103999999999992</v>
      </c>
      <c r="O42" s="179">
        <f>'2017 NEW RAW DATA '!C42</f>
        <v>53.551080000000006</v>
      </c>
      <c r="P42" s="180">
        <f>'2017 NEW RAW DATA '!D42</f>
        <v>1.1615278500780846</v>
      </c>
      <c r="Q42" s="178">
        <f>'2018 RAW DATA'!B42</f>
        <v>46.510999999999996</v>
      </c>
      <c r="R42" s="179">
        <f>'2018 RAW DATA'!C42</f>
        <v>55.228469999999994</v>
      </c>
      <c r="S42" s="180">
        <f>'2018 RAW DATA'!D42</f>
        <v>1.1874281352798262</v>
      </c>
      <c r="T42" s="178">
        <f>'2019 RAW DATA'!B42</f>
        <v>39.122999999999998</v>
      </c>
      <c r="U42" s="179">
        <f>'2019 RAW DATA'!C42</f>
        <v>42.729549999999996</v>
      </c>
      <c r="V42" s="180">
        <f>'2019 RAW DATA'!D42</f>
        <v>1.0921849040206528</v>
      </c>
      <c r="W42" s="376">
        <v>0.01</v>
      </c>
      <c r="X42" s="377">
        <f>+T42</f>
        <v>39.122999999999998</v>
      </c>
      <c r="Y42" s="378">
        <f t="shared" ref="Y42:Y64" si="80">+U42*(100%+W42)</f>
        <v>43.156845499999996</v>
      </c>
      <c r="Z42" s="379">
        <f>+Y42/X42</f>
        <v>1.1031067530608594</v>
      </c>
      <c r="AA42" s="396">
        <f>'2020 RAW DATA'!B42</f>
        <v>43.564999999999998</v>
      </c>
      <c r="AB42" s="397">
        <f>'2020 RAW DATA'!C42</f>
        <v>49.661470000000016</v>
      </c>
      <c r="AC42" s="398">
        <f>'2020 RAW DATA'!D42</f>
        <v>1.139939630437278</v>
      </c>
      <c r="AD42" s="377">
        <f t="shared" ref="AD42:AD52" si="81">+X42</f>
        <v>39.122999999999998</v>
      </c>
      <c r="AE42" s="378">
        <f t="shared" ref="AE42:AE52" si="82">+U42*(100%+W42)^2</f>
        <v>43.588413954999993</v>
      </c>
      <c r="AF42" s="379">
        <f>+AE42/AD42</f>
        <v>1.1141378205914678</v>
      </c>
      <c r="AG42" s="396">
        <f>'2021 RAW Data'!B42</f>
        <v>43.692</v>
      </c>
      <c r="AH42" s="397">
        <f>'2021 RAW Data'!C42</f>
        <v>49.865400000000008</v>
      </c>
      <c r="AI42" s="400">
        <f>+AH42/AG42</f>
        <v>1.1412936006591599</v>
      </c>
      <c r="AJ42" s="377">
        <f t="shared" ref="AJ42:AJ52" si="83">+AD42</f>
        <v>39.122999999999998</v>
      </c>
      <c r="AK42" s="378">
        <f t="shared" ref="AK42:AK52" si="84">+U42*(100%+W42)^3</f>
        <v>44.024298094549991</v>
      </c>
      <c r="AL42" s="379">
        <f>+AK42/AJ42</f>
        <v>1.1252791987973825</v>
      </c>
      <c r="AM42" s="377">
        <f t="shared" si="73"/>
        <v>39.122999999999998</v>
      </c>
      <c r="AN42" s="378">
        <f t="shared" si="69"/>
        <v>44.464541075495497</v>
      </c>
      <c r="AO42" s="379">
        <f t="shared" si="74"/>
        <v>1.1365319907853564</v>
      </c>
      <c r="AP42" s="377">
        <f t="shared" si="75"/>
        <v>39.122999999999998</v>
      </c>
      <c r="AQ42" s="378">
        <f t="shared" ref="AQ42:AQ52" si="85">+U42*(100%+W42)^5</f>
        <v>44.909186486250448</v>
      </c>
      <c r="AR42" s="379">
        <f t="shared" ref="AR42:AR52" si="86">+AQ42/AP42</f>
        <v>1.14789731069321</v>
      </c>
      <c r="AS42" s="377">
        <f t="shared" si="76"/>
        <v>39.122999999999998</v>
      </c>
      <c r="AT42" s="378">
        <f t="shared" si="77"/>
        <v>45.358278351112958</v>
      </c>
      <c r="AU42" s="379">
        <f t="shared" ref="AU42:AU52" si="87">+AT42/AS42</f>
        <v>1.1593762838001422</v>
      </c>
      <c r="AV42" s="377">
        <f t="shared" si="78"/>
        <v>39.122999999999998</v>
      </c>
      <c r="AW42" s="378">
        <f t="shared" si="79"/>
        <v>45.811861134624081</v>
      </c>
      <c r="AX42" s="379">
        <f t="shared" ref="AX42:AX52" si="88">+AW42/AV42</f>
        <v>1.1709700466381434</v>
      </c>
    </row>
    <row r="43" spans="1:50" x14ac:dyDescent="0.35">
      <c r="A43" t="s">
        <v>78</v>
      </c>
      <c r="B43" s="178">
        <f>'2014 RAW DATA'!B42</f>
        <v>1709.2446199999999</v>
      </c>
      <c r="C43" s="179">
        <f t="shared" si="70"/>
        <v>6312.0990940000002</v>
      </c>
      <c r="D43" s="180">
        <f>'2014 RAW DATA'!D42</f>
        <v>3.6929173391225887</v>
      </c>
      <c r="E43" s="178">
        <f>'2015 RAW DATA'!B42</f>
        <v>1708.52107</v>
      </c>
      <c r="F43" s="179">
        <v>5865.0368470000003</v>
      </c>
      <c r="G43" s="180">
        <f>'2015 RAW DATA'!D42</f>
        <v>3.4328150527286154</v>
      </c>
      <c r="H43" s="178">
        <f>'2016 RAW DATA'!B42</f>
        <v>1713.5727199999999</v>
      </c>
      <c r="I43" s="179">
        <f t="shared" si="71"/>
        <v>6241.6675539999997</v>
      </c>
      <c r="J43" s="180">
        <f>'2016 RAW DATA'!D42</f>
        <v>3.6424876990338642</v>
      </c>
      <c r="K43" s="178">
        <f>'2017 RAW DATA'!B42</f>
        <v>1110.4000000000001</v>
      </c>
      <c r="L43" s="179">
        <f t="shared" si="72"/>
        <v>1930.2</v>
      </c>
      <c r="M43" s="180">
        <f>'2017 RAW DATA'!D42</f>
        <v>1.7382925072046109</v>
      </c>
      <c r="N43" s="178">
        <f>'2017 NEW RAW DATA '!B43</f>
        <v>1068.9460000000017</v>
      </c>
      <c r="O43" s="179">
        <f>'2017 NEW RAW DATA '!C43</f>
        <v>1852.4264499999981</v>
      </c>
      <c r="P43" s="180">
        <f>'2017 NEW RAW DATA '!D43</f>
        <v>1.7329467063817958</v>
      </c>
      <c r="Q43" s="178">
        <f>'2018 RAW DATA'!B43</f>
        <v>1110.6740000000018</v>
      </c>
      <c r="R43" s="179">
        <f>'2018 RAW DATA'!C43</f>
        <v>1958.2065700000023</v>
      </c>
      <c r="S43" s="180">
        <f>'2018 RAW DATA'!D43</f>
        <v>1.7630795084786348</v>
      </c>
      <c r="T43" s="178">
        <f>'2019 RAW DATA'!B43</f>
        <v>1010.0209999999994</v>
      </c>
      <c r="U43" s="179">
        <f>'2019 RAW DATA'!C43</f>
        <v>1834.9924300000027</v>
      </c>
      <c r="V43" s="180">
        <f>'2019 RAW DATA'!D43</f>
        <v>1.8167864133518055</v>
      </c>
      <c r="W43" s="376">
        <v>0.02</v>
      </c>
      <c r="X43" s="377">
        <f t="shared" ref="X43:X52" si="89">+T43</f>
        <v>1010.0209999999994</v>
      </c>
      <c r="Y43" s="378">
        <f t="shared" si="80"/>
        <v>1871.6922786000027</v>
      </c>
      <c r="Z43" s="379">
        <f>+Y43/X43</f>
        <v>1.8531221416188415</v>
      </c>
      <c r="AA43" s="396">
        <f>'2020 RAW DATA'!B43</f>
        <v>1140.0489999999984</v>
      </c>
      <c r="AB43" s="397">
        <f>'2020 RAW DATA'!C43</f>
        <v>1825.5191200000029</v>
      </c>
      <c r="AC43" s="398">
        <f>'2020 RAW DATA'!D43</f>
        <v>1.6012637351552481</v>
      </c>
      <c r="AD43" s="377">
        <f t="shared" si="81"/>
        <v>1010.0209999999994</v>
      </c>
      <c r="AE43" s="378">
        <f t="shared" si="82"/>
        <v>1909.1261241720028</v>
      </c>
      <c r="AF43" s="379">
        <f>+AE43/AD43</f>
        <v>1.8901845844512184</v>
      </c>
      <c r="AG43" s="396">
        <f>'2021 RAW Data'!B43</f>
        <v>1187.154</v>
      </c>
      <c r="AH43" s="397">
        <f>'2021 RAW Data'!C43</f>
        <v>2090.1397400000023</v>
      </c>
      <c r="AI43" s="400">
        <f>+AH43/AG43</f>
        <v>1.7606306679672581</v>
      </c>
      <c r="AJ43" s="377">
        <f t="shared" si="83"/>
        <v>1010.0209999999994</v>
      </c>
      <c r="AK43" s="378">
        <f t="shared" si="84"/>
        <v>1947.3086466554428</v>
      </c>
      <c r="AL43" s="379">
        <f>+AK43/AJ43</f>
        <v>1.9279882761402425</v>
      </c>
      <c r="AM43" s="377">
        <f t="shared" si="73"/>
        <v>1010.0209999999994</v>
      </c>
      <c r="AN43" s="378">
        <f t="shared" si="69"/>
        <v>1986.2548195885518</v>
      </c>
      <c r="AO43" s="379">
        <f t="shared" si="74"/>
        <v>1.9665480416630476</v>
      </c>
      <c r="AP43" s="377">
        <f t="shared" si="75"/>
        <v>1010.0209999999994</v>
      </c>
      <c r="AQ43" s="378">
        <f t="shared" si="85"/>
        <v>2025.9799159803229</v>
      </c>
      <c r="AR43" s="379">
        <f t="shared" si="86"/>
        <v>2.0058790024963087</v>
      </c>
      <c r="AS43" s="377">
        <f t="shared" si="76"/>
        <v>1010.0209999999994</v>
      </c>
      <c r="AT43" s="378">
        <f t="shared" si="77"/>
        <v>2066.4995142999292</v>
      </c>
      <c r="AU43" s="379">
        <f t="shared" si="87"/>
        <v>2.0459965825462345</v>
      </c>
      <c r="AV43" s="377">
        <f t="shared" si="78"/>
        <v>1010.0209999999994</v>
      </c>
      <c r="AW43" s="378">
        <f t="shared" si="79"/>
        <v>2107.8295045859277</v>
      </c>
      <c r="AX43" s="379">
        <f t="shared" si="88"/>
        <v>2.0869165141971591</v>
      </c>
    </row>
    <row r="44" spans="1:50" x14ac:dyDescent="0.35">
      <c r="A44" t="s">
        <v>79</v>
      </c>
      <c r="B44" s="178">
        <f>'2014 RAW DATA'!B43</f>
        <v>130.48013</v>
      </c>
      <c r="C44" s="179">
        <f t="shared" si="70"/>
        <v>283.27542019999999</v>
      </c>
      <c r="D44" s="180">
        <f>'2014 RAW DATA'!D43</f>
        <v>2.1710234362887282</v>
      </c>
      <c r="E44" s="178">
        <f>'2015 RAW DATA'!B43</f>
        <v>130.87105</v>
      </c>
      <c r="F44" s="179">
        <v>280.32415020000002</v>
      </c>
      <c r="G44" s="180">
        <f>'2015 RAW DATA'!D43</f>
        <v>2.1419874769859342</v>
      </c>
      <c r="H44" s="178">
        <f>'2016 RAW DATA'!B43</f>
        <v>131.23523</v>
      </c>
      <c r="I44" s="179">
        <f t="shared" si="71"/>
        <v>268.45830089999998</v>
      </c>
      <c r="J44" s="180">
        <f>'2016 RAW DATA'!D43</f>
        <v>2.0456267794859655</v>
      </c>
      <c r="K44" s="178">
        <f>'2017 RAW DATA'!B43</f>
        <v>127</v>
      </c>
      <c r="L44" s="179">
        <f t="shared" si="72"/>
        <v>196.8</v>
      </c>
      <c r="M44" s="180">
        <f>'2017 RAW DATA'!D43</f>
        <v>1.5496062992125985</v>
      </c>
      <c r="N44" s="178">
        <f>'2017 NEW RAW DATA '!B44</f>
        <v>126.51599999999999</v>
      </c>
      <c r="O44" s="179">
        <f>'2017 NEW RAW DATA '!C44</f>
        <v>195.03558000000015</v>
      </c>
      <c r="P44" s="180">
        <f>'2017 NEW RAW DATA '!D44</f>
        <v>1.5415882576116868</v>
      </c>
      <c r="Q44" s="178">
        <f>'2018 RAW DATA'!B44</f>
        <v>126.52099999999999</v>
      </c>
      <c r="R44" s="179">
        <f>'2018 RAW DATA'!C44</f>
        <v>188.73113000000018</v>
      </c>
      <c r="S44" s="180">
        <f>'2018 RAW DATA'!D44</f>
        <v>1.4916980580298937</v>
      </c>
      <c r="T44" s="178">
        <f>'2019 RAW DATA'!B44</f>
        <v>114.944</v>
      </c>
      <c r="U44" s="179">
        <f>'2019 RAW DATA'!C44</f>
        <v>169.49347000000009</v>
      </c>
      <c r="V44" s="180">
        <f>'2019 RAW DATA'!D44</f>
        <v>1.4745743144487757</v>
      </c>
      <c r="W44" s="376">
        <v>0.02</v>
      </c>
      <c r="X44" s="377">
        <f t="shared" si="89"/>
        <v>114.944</v>
      </c>
      <c r="Y44" s="378">
        <f t="shared" si="80"/>
        <v>172.8833394000001</v>
      </c>
      <c r="Z44" s="379">
        <f>+Y44/X44</f>
        <v>1.5040658007377514</v>
      </c>
      <c r="AA44" s="396">
        <f>'2020 RAW DATA'!B44</f>
        <v>126.1810000000001</v>
      </c>
      <c r="AB44" s="397">
        <f>'2020 RAW DATA'!C44</f>
        <v>159.21033000000003</v>
      </c>
      <c r="AC44" s="398">
        <f>'2020 RAW DATA'!D44</f>
        <v>1.2617615171856293</v>
      </c>
      <c r="AD44" s="377">
        <f t="shared" si="81"/>
        <v>114.944</v>
      </c>
      <c r="AE44" s="378">
        <f t="shared" si="82"/>
        <v>176.34100618800008</v>
      </c>
      <c r="AF44" s="379">
        <f>+AE44/AD44</f>
        <v>1.5341471167525063</v>
      </c>
      <c r="AG44" s="396">
        <f>'2021 RAW Data'!B44</f>
        <v>126.34500000000008</v>
      </c>
      <c r="AH44" s="397">
        <f>'2021 RAW Data'!C44</f>
        <v>183.66956000000008</v>
      </c>
      <c r="AI44" s="400">
        <f>+AH44/AG44</f>
        <v>1.453714511852467</v>
      </c>
      <c r="AJ44" s="377">
        <f t="shared" si="83"/>
        <v>114.944</v>
      </c>
      <c r="AK44" s="378">
        <f t="shared" si="84"/>
        <v>179.86782631176007</v>
      </c>
      <c r="AL44" s="379">
        <f>+AK44/AJ44</f>
        <v>1.5648300590875563</v>
      </c>
      <c r="AM44" s="377">
        <f t="shared" si="73"/>
        <v>114.944</v>
      </c>
      <c r="AN44" s="378">
        <f t="shared" si="69"/>
        <v>183.46518283799529</v>
      </c>
      <c r="AO44" s="379">
        <f t="shared" si="74"/>
        <v>1.5961266602693076</v>
      </c>
      <c r="AP44" s="377">
        <f t="shared" si="75"/>
        <v>114.944</v>
      </c>
      <c r="AQ44" s="378">
        <f t="shared" si="85"/>
        <v>187.13448649475521</v>
      </c>
      <c r="AR44" s="379">
        <f t="shared" si="86"/>
        <v>1.6280491934746939</v>
      </c>
      <c r="AS44" s="377">
        <f t="shared" si="76"/>
        <v>114.944</v>
      </c>
      <c r="AT44" s="378">
        <f t="shared" si="77"/>
        <v>190.87717622465033</v>
      </c>
      <c r="AU44" s="379">
        <f t="shared" si="87"/>
        <v>1.6606101773441877</v>
      </c>
      <c r="AV44" s="377">
        <f t="shared" si="78"/>
        <v>114.944</v>
      </c>
      <c r="AW44" s="378">
        <f t="shared" si="79"/>
        <v>194.69471974914327</v>
      </c>
      <c r="AX44" s="379">
        <f t="shared" si="88"/>
        <v>1.6938223808910711</v>
      </c>
    </row>
    <row r="45" spans="1:50" x14ac:dyDescent="0.35">
      <c r="A45" t="s">
        <v>80</v>
      </c>
      <c r="B45" s="178"/>
      <c r="C45" s="179"/>
      <c r="D45" s="180"/>
      <c r="E45" s="178"/>
      <c r="F45" s="179"/>
      <c r="G45" s="180"/>
      <c r="H45" s="178"/>
      <c r="I45" s="179"/>
      <c r="J45" s="180"/>
      <c r="K45" s="178">
        <f>'2017 RAW DATA'!B44</f>
        <v>70.099999999999994</v>
      </c>
      <c r="L45" s="179">
        <f>+K45*+M45</f>
        <v>83.8</v>
      </c>
      <c r="M45" s="180">
        <f>'2017 RAW DATA'!D44</f>
        <v>1.1954350927246791</v>
      </c>
      <c r="N45" s="178">
        <f>'2017 NEW RAW DATA '!B45</f>
        <v>69.311999999999983</v>
      </c>
      <c r="O45" s="179">
        <f>'2017 NEW RAW DATA '!C45</f>
        <v>82.854090000000014</v>
      </c>
      <c r="P45" s="180">
        <f>'2017 NEW RAW DATA '!D45</f>
        <v>1.1953787222991694</v>
      </c>
      <c r="Q45" s="178">
        <f>'2018 RAW DATA'!B45</f>
        <v>64.149999999999991</v>
      </c>
      <c r="R45" s="179">
        <f>'2018 RAW DATA'!C45</f>
        <v>72.742110000000011</v>
      </c>
      <c r="S45" s="180">
        <f>'2018 RAW DATA'!D45</f>
        <v>1.1339378020265007</v>
      </c>
      <c r="T45" s="178">
        <f>'2019 RAW DATA'!B45</f>
        <v>55.194999999999993</v>
      </c>
      <c r="U45" s="179">
        <f>'2019 RAW DATA'!C45</f>
        <v>62.621690000000008</v>
      </c>
      <c r="V45" s="180">
        <f>'2019 RAW DATA'!D45</f>
        <v>1.1345536733399768</v>
      </c>
      <c r="W45" s="376">
        <v>0.02</v>
      </c>
      <c r="X45" s="377">
        <f t="shared" si="89"/>
        <v>55.194999999999993</v>
      </c>
      <c r="Y45" s="378">
        <f t="shared" si="80"/>
        <v>63.874123800000007</v>
      </c>
      <c r="Z45" s="379">
        <f>+Y45/X45</f>
        <v>1.1572447468067761</v>
      </c>
      <c r="AA45" s="396">
        <f>'2020 RAW DATA'!B45</f>
        <v>135.29399999999995</v>
      </c>
      <c r="AB45" s="397">
        <f>'2020 RAW DATA'!C45</f>
        <v>152.0102499999999</v>
      </c>
      <c r="AC45" s="398">
        <f>'2020 RAW DATA'!D45</f>
        <v>1.1235549987434768</v>
      </c>
      <c r="AD45" s="377">
        <f t="shared" si="81"/>
        <v>55.194999999999993</v>
      </c>
      <c r="AE45" s="378">
        <f t="shared" si="82"/>
        <v>65.15160627600001</v>
      </c>
      <c r="AF45" s="379">
        <f>+AE45/AD45</f>
        <v>1.1803896417429118</v>
      </c>
      <c r="AG45" s="396">
        <f>'2021 RAW Data'!B45</f>
        <v>69.319000000000045</v>
      </c>
      <c r="AH45" s="397">
        <f>'2021 RAW Data'!C45</f>
        <v>78.705510000000004</v>
      </c>
      <c r="AI45" s="400">
        <f>+AH45/AG45</f>
        <v>1.1354103492548933</v>
      </c>
      <c r="AJ45" s="377">
        <f t="shared" si="83"/>
        <v>55.194999999999993</v>
      </c>
      <c r="AK45" s="378">
        <f t="shared" si="84"/>
        <v>66.45463840152</v>
      </c>
      <c r="AL45" s="379">
        <f>+AK45/AJ45</f>
        <v>1.20399743457777</v>
      </c>
      <c r="AM45" s="377">
        <f>+AJ45</f>
        <v>55.194999999999993</v>
      </c>
      <c r="AN45" s="378">
        <f t="shared" si="69"/>
        <v>67.783731169550407</v>
      </c>
      <c r="AO45" s="379">
        <f t="shared" si="74"/>
        <v>1.2280773832693255</v>
      </c>
      <c r="AP45" s="377">
        <f>+AM45</f>
        <v>55.194999999999993</v>
      </c>
      <c r="AQ45" s="378">
        <f t="shared" si="85"/>
        <v>69.139405792941417</v>
      </c>
      <c r="AR45" s="379">
        <f t="shared" si="86"/>
        <v>1.2526389309347119</v>
      </c>
      <c r="AS45" s="377">
        <f>+AP45</f>
        <v>55.194999999999993</v>
      </c>
      <c r="AT45" s="378">
        <f t="shared" si="77"/>
        <v>70.522193908800247</v>
      </c>
      <c r="AU45" s="379">
        <f t="shared" si="87"/>
        <v>1.2776917095534062</v>
      </c>
      <c r="AV45" s="377">
        <f>+AS45</f>
        <v>55.194999999999993</v>
      </c>
      <c r="AW45" s="378">
        <f t="shared" si="79"/>
        <v>71.932637786976244</v>
      </c>
      <c r="AX45" s="379">
        <f t="shared" si="88"/>
        <v>1.3032455437444741</v>
      </c>
    </row>
    <row r="46" spans="1:50" x14ac:dyDescent="0.35">
      <c r="A46" t="s">
        <v>81</v>
      </c>
      <c r="B46" s="178"/>
      <c r="C46" s="179"/>
      <c r="D46" s="180"/>
      <c r="E46" s="178"/>
      <c r="F46" s="179"/>
      <c r="G46" s="180"/>
      <c r="H46" s="178"/>
      <c r="I46" s="179"/>
      <c r="J46" s="180"/>
      <c r="K46" s="178">
        <f>'2017 RAW DATA'!B45</f>
        <v>109</v>
      </c>
      <c r="L46" s="179">
        <f>+K46*+M46</f>
        <v>164.8</v>
      </c>
      <c r="M46" s="180">
        <f>'2017 RAW DATA'!D45</f>
        <v>1.5119266055045872</v>
      </c>
      <c r="N46" s="178">
        <f>'2017 NEW RAW DATA '!B46</f>
        <v>108.50600000000001</v>
      </c>
      <c r="O46" s="179">
        <f>'2017 NEW RAW DATA '!C46</f>
        <v>164.43838000000008</v>
      </c>
      <c r="P46" s="180">
        <f>'2017 NEW RAW DATA '!D46</f>
        <v>1.5154773007944267</v>
      </c>
      <c r="Q46" s="178">
        <f>'2018 RAW DATA'!B46</f>
        <v>123.51800000000004</v>
      </c>
      <c r="R46" s="179">
        <f>'2018 RAW DATA'!C46</f>
        <v>181.77202999999994</v>
      </c>
      <c r="S46" s="180">
        <f>'2018 RAW DATA'!D46</f>
        <v>1.4716238119140521</v>
      </c>
      <c r="T46" s="178">
        <f>'2019 RAW DATA'!B46</f>
        <v>95.492999999999938</v>
      </c>
      <c r="U46" s="179">
        <f>'2019 RAW DATA'!C46</f>
        <v>142.41082000000011</v>
      </c>
      <c r="V46" s="180">
        <f>'2019 RAW DATA'!D46</f>
        <v>1.4913220864356571</v>
      </c>
      <c r="W46" s="376">
        <v>0.02</v>
      </c>
      <c r="X46" s="377">
        <f t="shared" si="89"/>
        <v>95.492999999999938</v>
      </c>
      <c r="Y46" s="378">
        <f t="shared" si="80"/>
        <v>145.25903640000013</v>
      </c>
      <c r="Z46" s="379">
        <f>+Y46/X46</f>
        <v>1.5211485281643704</v>
      </c>
      <c r="AA46" s="396">
        <f>'2020 RAW DATA'!B46</f>
        <v>222.042</v>
      </c>
      <c r="AB46" s="397">
        <f>'2020 RAW DATA'!C46</f>
        <v>298.21014000000048</v>
      </c>
      <c r="AC46" s="398">
        <f>'2020 RAW DATA'!D46</f>
        <v>1.3430348312481444</v>
      </c>
      <c r="AD46" s="377">
        <f t="shared" si="81"/>
        <v>95.492999999999938</v>
      </c>
      <c r="AE46" s="378">
        <f t="shared" si="82"/>
        <v>148.16421712800013</v>
      </c>
      <c r="AF46" s="379">
        <f>+AE46/AD46</f>
        <v>1.5515714987276579</v>
      </c>
      <c r="AG46" s="396">
        <f>'2021 RAW Data'!B46</f>
        <v>112.61200000000001</v>
      </c>
      <c r="AH46" s="397">
        <f>'2021 RAW Data'!C46</f>
        <v>166.96122999999997</v>
      </c>
      <c r="AI46" s="400">
        <f>+AH46/AG46</f>
        <v>1.4826237878734057</v>
      </c>
      <c r="AJ46" s="377">
        <f t="shared" si="83"/>
        <v>95.492999999999938</v>
      </c>
      <c r="AK46" s="378">
        <f t="shared" si="84"/>
        <v>151.12750147056011</v>
      </c>
      <c r="AL46" s="379">
        <f>+AK46/AJ46</f>
        <v>1.5826029287022108</v>
      </c>
      <c r="AM46" s="377">
        <f>+AJ46</f>
        <v>95.492999999999938</v>
      </c>
      <c r="AN46" s="378">
        <f t="shared" si="69"/>
        <v>154.15005149997131</v>
      </c>
      <c r="AO46" s="379">
        <f t="shared" si="74"/>
        <v>1.6142549872762548</v>
      </c>
      <c r="AP46" s="377">
        <f>+AM46</f>
        <v>95.492999999999938</v>
      </c>
      <c r="AQ46" s="378">
        <f t="shared" si="85"/>
        <v>157.23305252997076</v>
      </c>
      <c r="AR46" s="379">
        <f t="shared" si="86"/>
        <v>1.6465400870217803</v>
      </c>
      <c r="AS46" s="377">
        <f>+AP46</f>
        <v>95.492999999999938</v>
      </c>
      <c r="AT46" s="378">
        <f t="shared" si="77"/>
        <v>160.37771358057017</v>
      </c>
      <c r="AU46" s="379">
        <f t="shared" si="87"/>
        <v>1.6794708887622158</v>
      </c>
      <c r="AV46" s="377">
        <f>+AS46</f>
        <v>95.492999999999938</v>
      </c>
      <c r="AW46" s="378">
        <f t="shared" si="79"/>
        <v>163.58526785218154</v>
      </c>
      <c r="AX46" s="379">
        <f t="shared" si="88"/>
        <v>1.7130603065374599</v>
      </c>
    </row>
    <row r="47" spans="1:50" x14ac:dyDescent="0.35">
      <c r="A47" t="s">
        <v>82</v>
      </c>
      <c r="B47" s="178">
        <f>'2014 RAW DATA'!B46</f>
        <v>653.06673999999998</v>
      </c>
      <c r="C47" s="179">
        <f t="shared" si="70"/>
        <v>2192.1861479999998</v>
      </c>
      <c r="D47" s="180">
        <f>'2014 RAW DATA'!D46</f>
        <v>3.3567566892167866</v>
      </c>
      <c r="E47" s="178">
        <f>'2015 RAW DATA'!B46</f>
        <v>657.72451999999998</v>
      </c>
      <c r="F47" s="179">
        <v>2199.6720850000002</v>
      </c>
      <c r="G47" s="180">
        <f>'2015 RAW DATA'!D46</f>
        <v>3.3443668558988802</v>
      </c>
      <c r="H47" s="178">
        <f>'2016 RAW DATA'!B46</f>
        <v>658.21479999999997</v>
      </c>
      <c r="I47" s="179">
        <f t="shared" si="71"/>
        <v>2102.222514</v>
      </c>
      <c r="J47" s="180">
        <f>'2016 RAW DATA'!D46</f>
        <v>3.1938244384659842</v>
      </c>
      <c r="K47" s="178">
        <f>'2017 RAW DATA'!B46</f>
        <v>786.4</v>
      </c>
      <c r="L47" s="179">
        <f t="shared" si="72"/>
        <v>1652</v>
      </c>
      <c r="M47" s="180">
        <f>'2017 RAW DATA'!D46</f>
        <v>2.1007121057985758</v>
      </c>
      <c r="N47" s="178">
        <f>'2017 NEW RAW DATA '!B47</f>
        <v>753.99399999999866</v>
      </c>
      <c r="O47" s="179">
        <f>'2017 NEW RAW DATA '!C47</f>
        <v>1550.2952099999993</v>
      </c>
      <c r="P47" s="180">
        <f>'2017 NEW RAW DATA '!D47</f>
        <v>2.056110804595265</v>
      </c>
      <c r="Q47" s="178">
        <f>'2018 RAW DATA'!B47</f>
        <v>844.74499999999875</v>
      </c>
      <c r="R47" s="179">
        <f>'2018 RAW DATA'!C47</f>
        <v>1816.7243800000017</v>
      </c>
      <c r="S47" s="180">
        <f>'2018 RAW DATA'!D47</f>
        <v>2.150618683744804</v>
      </c>
      <c r="T47" s="178">
        <f>'2019 RAW DATA'!B47</f>
        <v>735.31500000000085</v>
      </c>
      <c r="U47" s="179">
        <f>'2019 RAW DATA'!C47</f>
        <v>1575.6527199999989</v>
      </c>
      <c r="V47" s="180">
        <f>'2019 RAW DATA'!D47</f>
        <v>2.1428268429176573</v>
      </c>
      <c r="W47" s="376">
        <v>0.02</v>
      </c>
      <c r="X47" s="377">
        <f t="shared" si="89"/>
        <v>735.31500000000085</v>
      </c>
      <c r="Y47" s="378">
        <f t="shared" si="80"/>
        <v>1607.165774399999</v>
      </c>
      <c r="Z47" s="379">
        <f t="shared" ref="Z47:Z52" si="90">+Y47/X47</f>
        <v>2.1856833797760107</v>
      </c>
      <c r="AA47" s="396">
        <f>'2020 RAW DATA'!B47</f>
        <v>821.47099999999944</v>
      </c>
      <c r="AB47" s="397">
        <f>'2020 RAW DATA'!C47</f>
        <v>1624.2246400000004</v>
      </c>
      <c r="AC47" s="398">
        <f>'2020 RAW DATA'!D47</f>
        <v>1.9772148255994448</v>
      </c>
      <c r="AD47" s="377">
        <f t="shared" si="81"/>
        <v>735.31500000000085</v>
      </c>
      <c r="AE47" s="378">
        <f t="shared" si="82"/>
        <v>1639.3090898879989</v>
      </c>
      <c r="AF47" s="379">
        <f t="shared" ref="AF47:AF52" si="91">+AE47/AD47</f>
        <v>2.2293970473715303</v>
      </c>
      <c r="AG47" s="396">
        <f>'2021 RAW Data'!B47</f>
        <v>822.40799999999956</v>
      </c>
      <c r="AH47" s="397">
        <f>'2021 RAW Data'!C47</f>
        <v>1577.4396300000012</v>
      </c>
      <c r="AI47" s="400">
        <f t="shared" ref="AI47:AI52" si="92">+AH47/AG47</f>
        <v>1.9180742770011989</v>
      </c>
      <c r="AJ47" s="377">
        <f t="shared" si="83"/>
        <v>735.31500000000085</v>
      </c>
      <c r="AK47" s="378">
        <f t="shared" si="84"/>
        <v>1672.0952716857587</v>
      </c>
      <c r="AL47" s="379">
        <f t="shared" ref="AL47:AL52" si="93">+AK47/AJ47</f>
        <v>2.2739849883189609</v>
      </c>
      <c r="AM47" s="377">
        <f t="shared" si="73"/>
        <v>735.31500000000085</v>
      </c>
      <c r="AN47" s="378">
        <f t="shared" si="69"/>
        <v>1705.5371771194739</v>
      </c>
      <c r="AO47" s="379">
        <f t="shared" si="74"/>
        <v>2.3194646880853402</v>
      </c>
      <c r="AP47" s="377">
        <f t="shared" si="75"/>
        <v>735.31500000000085</v>
      </c>
      <c r="AQ47" s="378">
        <f t="shared" si="85"/>
        <v>1739.6479206618635</v>
      </c>
      <c r="AR47" s="379">
        <f t="shared" si="86"/>
        <v>2.3658539818470472</v>
      </c>
      <c r="AS47" s="377">
        <f t="shared" si="76"/>
        <v>735.31500000000085</v>
      </c>
      <c r="AT47" s="378">
        <f t="shared" si="77"/>
        <v>1774.4408790751008</v>
      </c>
      <c r="AU47" s="379">
        <f t="shared" si="87"/>
        <v>2.4131710614839883</v>
      </c>
      <c r="AV47" s="377">
        <f t="shared" si="78"/>
        <v>735.31500000000085</v>
      </c>
      <c r="AW47" s="378">
        <f t="shared" si="79"/>
        <v>1809.9296966566026</v>
      </c>
      <c r="AX47" s="379">
        <f t="shared" si="88"/>
        <v>2.4614344827136674</v>
      </c>
    </row>
    <row r="48" spans="1:50" x14ac:dyDescent="0.35">
      <c r="A48" t="s">
        <v>83</v>
      </c>
      <c r="B48" s="178">
        <f>'2014 RAW DATA'!B47</f>
        <v>73.755759999999995</v>
      </c>
      <c r="C48" s="179">
        <f t="shared" si="70"/>
        <v>120.2868747</v>
      </c>
      <c r="D48" s="180">
        <f>'2014 RAW DATA'!D47</f>
        <v>1.6308810959306772</v>
      </c>
      <c r="E48" s="178">
        <f>'2015 RAW DATA'!B47</f>
        <v>73.767700000000005</v>
      </c>
      <c r="F48" s="179">
        <v>119.13630360000001</v>
      </c>
      <c r="G48" s="180">
        <f>'2015 RAW DATA'!D47</f>
        <v>1.6150199016642786</v>
      </c>
      <c r="H48" s="178">
        <f>'2016 RAW DATA'!B47</f>
        <v>73.251630000000006</v>
      </c>
      <c r="I48" s="179">
        <f t="shared" si="71"/>
        <v>118.357026</v>
      </c>
      <c r="J48" s="180">
        <f>'2016 RAW DATA'!D47</f>
        <v>1.6157596220043158</v>
      </c>
      <c r="K48" s="178">
        <f>'2017 RAW DATA'!B47</f>
        <v>77.5</v>
      </c>
      <c r="L48" s="179">
        <f t="shared" si="72"/>
        <v>111.3</v>
      </c>
      <c r="M48" s="180">
        <f>'2017 RAW DATA'!D47</f>
        <v>1.4361290322580644</v>
      </c>
      <c r="N48" s="178">
        <f>'2017 NEW RAW DATA '!B48</f>
        <v>74.853999999999985</v>
      </c>
      <c r="O48" s="179">
        <f>'2017 NEW RAW DATA '!C48</f>
        <v>108.47534999999999</v>
      </c>
      <c r="P48" s="180">
        <f>'2017 NEW RAW DATA '!D48</f>
        <v>1.4491590295775778</v>
      </c>
      <c r="Q48" s="178">
        <f>'2018 RAW DATA'!B48</f>
        <v>70.063999999999993</v>
      </c>
      <c r="R48" s="179">
        <f>'2018 RAW DATA'!C48</f>
        <v>103.23629000000001</v>
      </c>
      <c r="S48" s="180">
        <f>'2018 RAW DATA'!D48</f>
        <v>1.4734569821877144</v>
      </c>
      <c r="T48" s="178">
        <f>'2019 RAW DATA'!B48</f>
        <v>114.46499999999995</v>
      </c>
      <c r="U48" s="179">
        <f>'2019 RAW DATA'!C48</f>
        <v>143.94755999999992</v>
      </c>
      <c r="V48" s="180">
        <f>'2019 RAW DATA'!D48</f>
        <v>1.2575683396671471</v>
      </c>
      <c r="W48" s="376">
        <v>0.01</v>
      </c>
      <c r="X48" s="377">
        <f t="shared" si="89"/>
        <v>114.46499999999995</v>
      </c>
      <c r="Y48" s="378">
        <f t="shared" si="80"/>
        <v>145.38703559999993</v>
      </c>
      <c r="Z48" s="379">
        <f t="shared" si="90"/>
        <v>1.2701440230638186</v>
      </c>
      <c r="AA48" s="396">
        <f>'2020 RAW DATA'!B48</f>
        <v>129.73699999999999</v>
      </c>
      <c r="AB48" s="397">
        <f>'2020 RAW DATA'!C48</f>
        <v>150.65529000000004</v>
      </c>
      <c r="AC48" s="398">
        <f>'2020 RAW DATA'!D48</f>
        <v>1.1612361161426581</v>
      </c>
      <c r="AD48" s="377">
        <f t="shared" si="81"/>
        <v>114.46499999999995</v>
      </c>
      <c r="AE48" s="378">
        <f t="shared" si="82"/>
        <v>146.84090595599992</v>
      </c>
      <c r="AF48" s="379">
        <f t="shared" si="91"/>
        <v>1.2828454632944566</v>
      </c>
      <c r="AG48" s="396">
        <f>'2021 RAW Data'!B48</f>
        <v>127.06199999999997</v>
      </c>
      <c r="AH48" s="397">
        <f>'2021 RAW Data'!C48</f>
        <v>164.57449999999997</v>
      </c>
      <c r="AI48" s="400">
        <f t="shared" si="92"/>
        <v>1.2952298877713244</v>
      </c>
      <c r="AJ48" s="377">
        <f t="shared" si="83"/>
        <v>114.46499999999995</v>
      </c>
      <c r="AK48" s="378">
        <f t="shared" si="84"/>
        <v>148.30931501555992</v>
      </c>
      <c r="AL48" s="379">
        <f t="shared" si="93"/>
        <v>1.2956739179274013</v>
      </c>
      <c r="AM48" s="377">
        <f t="shared" si="73"/>
        <v>114.46499999999995</v>
      </c>
      <c r="AN48" s="378">
        <f t="shared" si="69"/>
        <v>149.79240816571553</v>
      </c>
      <c r="AO48" s="379">
        <f t="shared" si="74"/>
        <v>1.3086306571066755</v>
      </c>
      <c r="AP48" s="377">
        <f t="shared" si="75"/>
        <v>114.46499999999995</v>
      </c>
      <c r="AQ48" s="378">
        <f t="shared" si="85"/>
        <v>151.29033224737267</v>
      </c>
      <c r="AR48" s="379">
        <f t="shared" si="86"/>
        <v>1.3217169636777422</v>
      </c>
      <c r="AS48" s="377">
        <f t="shared" si="76"/>
        <v>114.46499999999995</v>
      </c>
      <c r="AT48" s="378">
        <f t="shared" si="77"/>
        <v>152.80323556984644</v>
      </c>
      <c r="AU48" s="379">
        <f t="shared" si="87"/>
        <v>1.3349341333145197</v>
      </c>
      <c r="AV48" s="377">
        <f t="shared" si="78"/>
        <v>114.46499999999995</v>
      </c>
      <c r="AW48" s="378">
        <f t="shared" si="79"/>
        <v>154.33126792554484</v>
      </c>
      <c r="AX48" s="379">
        <f t="shared" si="88"/>
        <v>1.3482834746476644</v>
      </c>
    </row>
    <row r="49" spans="1:50" x14ac:dyDescent="0.35">
      <c r="A49" t="s">
        <v>84</v>
      </c>
      <c r="B49" s="178">
        <f>'2014 RAW DATA'!B48</f>
        <v>77.447460000000007</v>
      </c>
      <c r="C49" s="179">
        <f t="shared" si="70"/>
        <v>105.63470460000001</v>
      </c>
      <c r="D49" s="180">
        <f>'2014 RAW DATA'!D48</f>
        <v>1.3639531186690952</v>
      </c>
      <c r="E49" s="178">
        <f>'2015 RAW DATA'!B48</f>
        <v>84.968180000000004</v>
      </c>
      <c r="F49" s="179">
        <v>190.72929540000001</v>
      </c>
      <c r="G49" s="180">
        <f>'2015 RAW DATA'!D48</f>
        <v>2.2447143789592765</v>
      </c>
      <c r="H49" s="178">
        <f>'2016 RAW DATA'!B48</f>
        <v>84.968180000000004</v>
      </c>
      <c r="I49" s="179">
        <f t="shared" si="71"/>
        <v>183.6924922</v>
      </c>
      <c r="J49" s="180">
        <f>'2016 RAW DATA'!D48</f>
        <v>2.1618974562006623</v>
      </c>
      <c r="K49" s="178">
        <f>'2017 RAW DATA'!B48</f>
        <v>40</v>
      </c>
      <c r="L49" s="179">
        <f t="shared" si="72"/>
        <v>55</v>
      </c>
      <c r="M49" s="180">
        <f>'2017 RAW DATA'!D48</f>
        <v>1.375</v>
      </c>
      <c r="N49" s="178">
        <f>'2017 NEW RAW DATA '!B49</f>
        <v>39.906000000000006</v>
      </c>
      <c r="O49" s="179">
        <f>'2017 NEW RAW DATA '!C49</f>
        <v>54.640720000000009</v>
      </c>
      <c r="P49" s="180">
        <f>'2017 NEW RAW DATA '!D49</f>
        <v>1.3692357039041749</v>
      </c>
      <c r="Q49" s="178">
        <f>'2018 RAW DATA'!B49</f>
        <v>40.891999999999996</v>
      </c>
      <c r="R49" s="179">
        <f>'2018 RAW DATA'!C49</f>
        <v>57.547020000000003</v>
      </c>
      <c r="S49" s="180">
        <f>'2018 RAW DATA'!D49</f>
        <v>1.4072928690208355</v>
      </c>
      <c r="T49" s="178">
        <f>'2019 RAW DATA'!B49</f>
        <v>35.673000000000002</v>
      </c>
      <c r="U49" s="179">
        <f>'2019 RAW DATA'!C49</f>
        <v>48.212329999999994</v>
      </c>
      <c r="V49" s="180">
        <f>'2019 RAW DATA'!D49</f>
        <v>1.3515075827656768</v>
      </c>
      <c r="W49" s="376">
        <v>0.01</v>
      </c>
      <c r="X49" s="377">
        <f t="shared" si="89"/>
        <v>35.673000000000002</v>
      </c>
      <c r="Y49" s="378">
        <f t="shared" si="80"/>
        <v>48.694453299999992</v>
      </c>
      <c r="Z49" s="379">
        <f t="shared" si="90"/>
        <v>1.3650226585933336</v>
      </c>
      <c r="AA49" s="396">
        <f>'2020 RAW DATA'!B49</f>
        <v>38.332999999999991</v>
      </c>
      <c r="AB49" s="397">
        <f>'2020 RAW DATA'!C49</f>
        <v>50.917979999999986</v>
      </c>
      <c r="AC49" s="398">
        <f>'2020 RAW DATA'!D49</f>
        <v>1.3283066809276602</v>
      </c>
      <c r="AD49" s="377">
        <f t="shared" si="81"/>
        <v>35.673000000000002</v>
      </c>
      <c r="AE49" s="378">
        <f t="shared" si="82"/>
        <v>49.181397832999991</v>
      </c>
      <c r="AF49" s="379">
        <f t="shared" si="91"/>
        <v>1.3786728851792669</v>
      </c>
      <c r="AG49" s="396">
        <f>'2021 RAW Data'!B49</f>
        <v>40.121000000000002</v>
      </c>
      <c r="AH49" s="397">
        <f>'2021 RAW Data'!C49</f>
        <v>53.768509999999999</v>
      </c>
      <c r="AI49" s="400">
        <f t="shared" si="92"/>
        <v>1.340158769721592</v>
      </c>
      <c r="AJ49" s="377">
        <f t="shared" si="83"/>
        <v>35.673000000000002</v>
      </c>
      <c r="AK49" s="378">
        <f t="shared" si="84"/>
        <v>49.673211811329992</v>
      </c>
      <c r="AL49" s="379">
        <f t="shared" si="93"/>
        <v>1.3924596140310597</v>
      </c>
      <c r="AM49" s="377">
        <f t="shared" si="73"/>
        <v>35.673000000000002</v>
      </c>
      <c r="AN49" s="378">
        <f t="shared" si="69"/>
        <v>50.169943929443292</v>
      </c>
      <c r="AO49" s="379">
        <f t="shared" si="74"/>
        <v>1.4063842101713702</v>
      </c>
      <c r="AP49" s="377">
        <f t="shared" si="75"/>
        <v>35.673000000000002</v>
      </c>
      <c r="AQ49" s="378">
        <f t="shared" si="85"/>
        <v>50.671643368737726</v>
      </c>
      <c r="AR49" s="379">
        <f t="shared" si="86"/>
        <v>1.420448052273084</v>
      </c>
      <c r="AS49" s="377">
        <f t="shared" si="76"/>
        <v>35.673000000000002</v>
      </c>
      <c r="AT49" s="378">
        <f t="shared" si="77"/>
        <v>51.178359802425113</v>
      </c>
      <c r="AU49" s="379">
        <f t="shared" si="87"/>
        <v>1.4346525327958151</v>
      </c>
      <c r="AV49" s="377">
        <f t="shared" si="78"/>
        <v>35.673000000000002</v>
      </c>
      <c r="AW49" s="378">
        <f t="shared" si="79"/>
        <v>51.690143400449344</v>
      </c>
      <c r="AX49" s="379">
        <f t="shared" si="88"/>
        <v>1.4489990581237726</v>
      </c>
    </row>
    <row r="50" spans="1:50" x14ac:dyDescent="0.35">
      <c r="A50" t="s">
        <v>85</v>
      </c>
      <c r="B50" s="178">
        <f>'2014 RAW DATA'!B49</f>
        <v>112.59275</v>
      </c>
      <c r="C50" s="179">
        <f t="shared" si="70"/>
        <v>121.62999209999998</v>
      </c>
      <c r="D50" s="180">
        <f>'2014 RAW DATA'!D49</f>
        <v>1.0802648669652353</v>
      </c>
      <c r="E50" s="178">
        <f>'2015 RAW DATA'!B49</f>
        <v>112.59276</v>
      </c>
      <c r="F50" s="179">
        <v>121.7122265</v>
      </c>
      <c r="G50" s="180">
        <f>'2015 RAW DATA'!D49</f>
        <v>1.0809951412506453</v>
      </c>
      <c r="H50" s="178">
        <f>'2016 RAW DATA'!B49</f>
        <v>113.26527</v>
      </c>
      <c r="I50" s="179">
        <f t="shared" si="71"/>
        <v>128.25212389999999</v>
      </c>
      <c r="J50" s="180">
        <f>'2016 RAW DATA'!D49</f>
        <v>1.132316409963972</v>
      </c>
      <c r="K50" s="178">
        <f>'2017 RAW DATA'!B49</f>
        <v>45</v>
      </c>
      <c r="L50" s="179">
        <f t="shared" si="72"/>
        <v>48</v>
      </c>
      <c r="M50" s="180">
        <f>'2017 RAW DATA'!D49</f>
        <v>1.0666666666666667</v>
      </c>
      <c r="N50" s="178">
        <f>'2017 NEW RAW DATA '!B50</f>
        <v>33.257000000000005</v>
      </c>
      <c r="O50" s="179">
        <f>'2017 NEW RAW DATA '!C50</f>
        <v>35.581069999999997</v>
      </c>
      <c r="P50" s="180">
        <f>'2017 NEW RAW DATA '!D50</f>
        <v>1.069882130077878</v>
      </c>
      <c r="Q50" s="178">
        <f>'2018 RAW DATA'!B50</f>
        <v>33.799000000000007</v>
      </c>
      <c r="R50" s="179">
        <f>'2018 RAW DATA'!C50</f>
        <v>36.218540000000004</v>
      </c>
      <c r="S50" s="180">
        <f>'2018 RAW DATA'!D50</f>
        <v>1.0715861416018224</v>
      </c>
      <c r="T50" s="178">
        <f>'2019 RAW DATA'!B50</f>
        <v>28.784000000000006</v>
      </c>
      <c r="U50" s="179">
        <f>'2019 RAW DATA'!C50</f>
        <v>33.86</v>
      </c>
      <c r="V50" s="180">
        <f>'2019 RAW DATA'!D50</f>
        <v>1.1763479710950526</v>
      </c>
      <c r="W50" s="376">
        <v>0.01</v>
      </c>
      <c r="X50" s="377">
        <f t="shared" si="89"/>
        <v>28.784000000000006</v>
      </c>
      <c r="Y50" s="378">
        <f t="shared" si="80"/>
        <v>34.198599999999999</v>
      </c>
      <c r="Z50" s="379">
        <f t="shared" si="90"/>
        <v>1.1881114508060031</v>
      </c>
      <c r="AA50" s="396">
        <f>'2020 RAW DATA'!B50</f>
        <v>31.581</v>
      </c>
      <c r="AB50" s="397">
        <f>'2020 RAW DATA'!C50</f>
        <v>26.893149999999999</v>
      </c>
      <c r="AC50" s="398">
        <f>'2020 RAW DATA'!D50</f>
        <v>0.8515610651974288</v>
      </c>
      <c r="AD50" s="377">
        <f t="shared" si="81"/>
        <v>28.784000000000006</v>
      </c>
      <c r="AE50" s="378">
        <f t="shared" si="82"/>
        <v>34.540585999999998</v>
      </c>
      <c r="AF50" s="379">
        <f t="shared" si="91"/>
        <v>1.1999925653140631</v>
      </c>
      <c r="AG50" s="396">
        <f>'2021 RAW Data'!B50</f>
        <v>31.581</v>
      </c>
      <c r="AH50" s="397">
        <f>'2021 RAW Data'!C50</f>
        <v>24.767230000000005</v>
      </c>
      <c r="AI50" s="400">
        <f t="shared" si="92"/>
        <v>0.7842446407650171</v>
      </c>
      <c r="AJ50" s="377">
        <f t="shared" si="83"/>
        <v>28.784000000000006</v>
      </c>
      <c r="AK50" s="378">
        <f t="shared" si="84"/>
        <v>34.885991859999997</v>
      </c>
      <c r="AL50" s="379">
        <f t="shared" si="93"/>
        <v>1.2119924909672037</v>
      </c>
      <c r="AM50" s="377">
        <f t="shared" si="73"/>
        <v>28.784000000000006</v>
      </c>
      <c r="AN50" s="378">
        <f t="shared" si="69"/>
        <v>35.234851778600003</v>
      </c>
      <c r="AO50" s="379">
        <f t="shared" si="74"/>
        <v>1.2241124158768759</v>
      </c>
      <c r="AP50" s="377">
        <f t="shared" si="75"/>
        <v>28.784000000000006</v>
      </c>
      <c r="AQ50" s="378">
        <f t="shared" si="85"/>
        <v>35.587200296385994</v>
      </c>
      <c r="AR50" s="379">
        <f t="shared" si="86"/>
        <v>1.2363535400356442</v>
      </c>
      <c r="AS50" s="377">
        <f t="shared" si="76"/>
        <v>28.784000000000006</v>
      </c>
      <c r="AT50" s="378">
        <f t="shared" si="77"/>
        <v>35.943072299349865</v>
      </c>
      <c r="AU50" s="379">
        <f t="shared" si="87"/>
        <v>1.2487170754360011</v>
      </c>
      <c r="AV50" s="377">
        <f t="shared" si="78"/>
        <v>28.784000000000006</v>
      </c>
      <c r="AW50" s="378">
        <f t="shared" si="79"/>
        <v>36.302503022343352</v>
      </c>
      <c r="AX50" s="379">
        <f t="shared" si="88"/>
        <v>1.2612042461903608</v>
      </c>
    </row>
    <row r="51" spans="1:50" x14ac:dyDescent="0.35">
      <c r="A51" t="s">
        <v>86</v>
      </c>
      <c r="B51" s="178">
        <f>'2014 RAW DATA'!B50</f>
        <v>44.15934</v>
      </c>
      <c r="C51" s="179">
        <f t="shared" si="70"/>
        <v>53.363113650000003</v>
      </c>
      <c r="D51" s="180">
        <f>'2014 RAW DATA'!D50</f>
        <v>1.2084219023653886</v>
      </c>
      <c r="E51" s="178">
        <f>'2015 RAW DATA'!B50</f>
        <v>44.159350000000003</v>
      </c>
      <c r="F51" s="179">
        <v>54.826460529999999</v>
      </c>
      <c r="G51" s="180">
        <f>'2015 RAW DATA'!D50</f>
        <v>1.2415595005361264</v>
      </c>
      <c r="H51" s="178">
        <f>'2016 RAW DATA'!B50</f>
        <v>44.15954</v>
      </c>
      <c r="I51" s="179">
        <f t="shared" si="71"/>
        <v>52.57264344</v>
      </c>
      <c r="J51" s="180">
        <f>'2016 RAW DATA'!D50</f>
        <v>1.1905161022963555</v>
      </c>
      <c r="K51" s="178">
        <f>'2017 RAW DATA'!B50</f>
        <v>29</v>
      </c>
      <c r="L51" s="179">
        <f t="shared" si="72"/>
        <v>34</v>
      </c>
      <c r="M51" s="180">
        <f>'2017 RAW DATA'!D50</f>
        <v>1.1724137931034482</v>
      </c>
      <c r="N51" s="178">
        <f>'2017 NEW RAW DATA '!B51</f>
        <v>28.552000000000014</v>
      </c>
      <c r="O51" s="179">
        <f>'2017 NEW RAW DATA '!C51</f>
        <v>33.938050000000004</v>
      </c>
      <c r="P51" s="180">
        <f>'2017 NEW RAW DATA '!D51</f>
        <v>1.1886400252171472</v>
      </c>
      <c r="Q51" s="178">
        <f>'2018 RAW DATA'!B51</f>
        <v>28.552000000000014</v>
      </c>
      <c r="R51" s="179">
        <f>'2018 RAW DATA'!C51</f>
        <v>34.408560000000008</v>
      </c>
      <c r="S51" s="180">
        <f>'2018 RAW DATA'!D51</f>
        <v>1.2051190809750627</v>
      </c>
      <c r="T51" s="178">
        <f>'2019 RAW DATA'!B51</f>
        <v>22.187999999999999</v>
      </c>
      <c r="U51" s="179">
        <f>'2019 RAW DATA'!C51</f>
        <v>27.201520000000006</v>
      </c>
      <c r="V51" s="180">
        <f>'2019 RAW DATA'!D51</f>
        <v>1.2259563728141341</v>
      </c>
      <c r="W51" s="376">
        <v>0.01</v>
      </c>
      <c r="X51" s="377">
        <f t="shared" si="89"/>
        <v>22.187999999999999</v>
      </c>
      <c r="Y51" s="378">
        <f t="shared" si="80"/>
        <v>27.473535200000008</v>
      </c>
      <c r="Z51" s="379">
        <f t="shared" si="90"/>
        <v>1.2382159365422756</v>
      </c>
      <c r="AA51" s="396">
        <f>'2020 RAW DATA'!B51</f>
        <v>26.324000000000002</v>
      </c>
      <c r="AB51" s="397">
        <f>'2020 RAW DATA'!C51</f>
        <v>31.468</v>
      </c>
      <c r="AC51" s="398">
        <f>'2020 RAW DATA'!D51</f>
        <v>1.1954110317580915</v>
      </c>
      <c r="AD51" s="377">
        <f t="shared" si="81"/>
        <v>22.187999999999999</v>
      </c>
      <c r="AE51" s="378">
        <f t="shared" si="82"/>
        <v>27.748270552000005</v>
      </c>
      <c r="AF51" s="379">
        <f t="shared" si="91"/>
        <v>1.2505980959076981</v>
      </c>
      <c r="AG51" s="396">
        <f>'2021 RAW Data'!B51</f>
        <v>26.326000000000001</v>
      </c>
      <c r="AH51" s="397">
        <f>'2021 RAW Data'!C51</f>
        <v>32.883799999999994</v>
      </c>
      <c r="AI51" s="400">
        <f t="shared" si="92"/>
        <v>1.2490997492972724</v>
      </c>
      <c r="AJ51" s="377">
        <f t="shared" si="83"/>
        <v>22.187999999999999</v>
      </c>
      <c r="AK51" s="378">
        <f t="shared" si="84"/>
        <v>28.025753257520002</v>
      </c>
      <c r="AL51" s="379">
        <f t="shared" si="93"/>
        <v>1.2631040768667749</v>
      </c>
      <c r="AM51" s="377">
        <f t="shared" si="73"/>
        <v>22.187999999999999</v>
      </c>
      <c r="AN51" s="378">
        <f t="shared" si="69"/>
        <v>28.306010790095208</v>
      </c>
      <c r="AO51" s="379">
        <f t="shared" si="74"/>
        <v>1.275735117635443</v>
      </c>
      <c r="AP51" s="377">
        <f t="shared" si="75"/>
        <v>22.187999999999999</v>
      </c>
      <c r="AQ51" s="378">
        <f t="shared" si="85"/>
        <v>28.589070897996155</v>
      </c>
      <c r="AR51" s="379">
        <f t="shared" si="86"/>
        <v>1.2884924688117971</v>
      </c>
      <c r="AS51" s="377">
        <f t="shared" si="76"/>
        <v>22.187999999999999</v>
      </c>
      <c r="AT51" s="378">
        <f t="shared" si="77"/>
        <v>28.874961606976122</v>
      </c>
      <c r="AU51" s="379">
        <f t="shared" si="87"/>
        <v>1.3013773934999153</v>
      </c>
      <c r="AV51" s="377">
        <f t="shared" si="78"/>
        <v>22.187999999999999</v>
      </c>
      <c r="AW51" s="378">
        <f t="shared" si="79"/>
        <v>29.163711223045876</v>
      </c>
      <c r="AX51" s="379">
        <f t="shared" si="88"/>
        <v>1.3143911674349142</v>
      </c>
    </row>
    <row r="52" spans="1:50" x14ac:dyDescent="0.35">
      <c r="A52" t="s">
        <v>87</v>
      </c>
      <c r="B52" s="178">
        <f>'2014 RAW DATA'!B51</f>
        <v>156.53781000000001</v>
      </c>
      <c r="C52" s="179">
        <f t="shared" si="70"/>
        <v>207.46307970000001</v>
      </c>
      <c r="D52" s="180">
        <f>'2014 RAW DATA'!D51</f>
        <v>1.3253224872636202</v>
      </c>
      <c r="E52" s="178">
        <f>'2015 RAW DATA'!B51</f>
        <v>226.55256</v>
      </c>
      <c r="F52" s="179">
        <v>417.76039170000001</v>
      </c>
      <c r="G52" s="180">
        <f>'2015 RAW DATA'!D51</f>
        <v>1.8439888372923263</v>
      </c>
      <c r="H52" s="178">
        <f>'2016 RAW DATA'!B51</f>
        <v>226.98218</v>
      </c>
      <c r="I52" s="179">
        <f t="shared" si="71"/>
        <v>416.60850579999999</v>
      </c>
      <c r="J52" s="180">
        <f>'2016 RAW DATA'!D51</f>
        <v>1.8354238460481787</v>
      </c>
      <c r="K52" s="178">
        <f>'2017 RAW DATA'!B51</f>
        <v>103.5</v>
      </c>
      <c r="L52" s="179">
        <f t="shared" si="72"/>
        <v>142.19999999999999</v>
      </c>
      <c r="M52" s="180">
        <f>'2017 RAW DATA'!D51</f>
        <v>1.3739130434782607</v>
      </c>
      <c r="N52" s="178">
        <f>'2017 NEW RAW DATA '!B52</f>
        <v>91.730000000000018</v>
      </c>
      <c r="O52" s="179">
        <f>'2017 NEW RAW DATA '!C52</f>
        <v>121.35560999999998</v>
      </c>
      <c r="P52" s="180">
        <f>'2017 NEW RAW DATA '!D52</f>
        <v>1.3229653330426248</v>
      </c>
      <c r="Q52" s="178">
        <f>'2018 RAW DATA'!B52</f>
        <v>92.342000000000013</v>
      </c>
      <c r="R52" s="179">
        <f>'2018 RAW DATA'!C52</f>
        <v>147.40287999999995</v>
      </c>
      <c r="S52" s="180">
        <f>'2018 RAW DATA'!D52</f>
        <v>1.5962712525178135</v>
      </c>
      <c r="T52" s="178">
        <f>'2019 RAW DATA'!B52</f>
        <v>83.826999999999998</v>
      </c>
      <c r="U52" s="179">
        <f>'2019 RAW DATA'!C52</f>
        <v>127.45021</v>
      </c>
      <c r="V52" s="180">
        <f>'2019 RAW DATA'!D52</f>
        <v>1.5203956958975031</v>
      </c>
      <c r="W52" s="376">
        <v>0.01</v>
      </c>
      <c r="X52" s="377">
        <f t="shared" si="89"/>
        <v>83.826999999999998</v>
      </c>
      <c r="Y52" s="378">
        <f t="shared" si="80"/>
        <v>128.7247121</v>
      </c>
      <c r="Z52" s="379">
        <f t="shared" si="90"/>
        <v>1.5355996528564784</v>
      </c>
      <c r="AA52" s="396">
        <f>'2020 RAW DATA'!B52</f>
        <v>91.595000000000027</v>
      </c>
      <c r="AB52" s="397">
        <f>'2020 RAW DATA'!C52</f>
        <v>92.675089999999969</v>
      </c>
      <c r="AC52" s="398">
        <f>'2020 RAW DATA'!D52</f>
        <v>1.011792019215022</v>
      </c>
      <c r="AD52" s="377">
        <f t="shared" si="81"/>
        <v>83.826999999999998</v>
      </c>
      <c r="AE52" s="378">
        <f t="shared" si="82"/>
        <v>130.01195922100001</v>
      </c>
      <c r="AF52" s="379">
        <f t="shared" si="91"/>
        <v>1.5509556493850432</v>
      </c>
      <c r="AG52" s="396">
        <f>'2021 RAW Data'!B52</f>
        <v>92.272000000000048</v>
      </c>
      <c r="AH52" s="397">
        <f>'2021 RAW Data'!C52</f>
        <v>92.948209999999975</v>
      </c>
      <c r="AI52" s="400">
        <f t="shared" si="92"/>
        <v>1.0073284419975717</v>
      </c>
      <c r="AJ52" s="377">
        <f t="shared" si="83"/>
        <v>83.826999999999998</v>
      </c>
      <c r="AK52" s="378">
        <f t="shared" si="84"/>
        <v>131.31207881320998</v>
      </c>
      <c r="AL52" s="379">
        <f t="shared" si="93"/>
        <v>1.5664652058788933</v>
      </c>
      <c r="AM52" s="377">
        <f t="shared" si="73"/>
        <v>83.826999999999998</v>
      </c>
      <c r="AN52" s="378">
        <f t="shared" si="69"/>
        <v>132.6251996013421</v>
      </c>
      <c r="AO52" s="379">
        <f t="shared" si="74"/>
        <v>1.5821298579376823</v>
      </c>
      <c r="AP52" s="377">
        <f t="shared" si="75"/>
        <v>83.826999999999998</v>
      </c>
      <c r="AQ52" s="378">
        <f t="shared" si="85"/>
        <v>133.95145159735551</v>
      </c>
      <c r="AR52" s="379">
        <f t="shared" si="86"/>
        <v>1.5979511565170592</v>
      </c>
      <c r="AS52" s="377">
        <f t="shared" si="76"/>
        <v>83.826999999999998</v>
      </c>
      <c r="AT52" s="378">
        <f t="shared" si="77"/>
        <v>135.29096611332909</v>
      </c>
      <c r="AU52" s="379">
        <f t="shared" si="87"/>
        <v>1.6139306680822301</v>
      </c>
      <c r="AV52" s="377">
        <f t="shared" si="78"/>
        <v>83.826999999999998</v>
      </c>
      <c r="AW52" s="378">
        <f t="shared" si="79"/>
        <v>136.64387577446234</v>
      </c>
      <c r="AX52" s="379">
        <f t="shared" si="88"/>
        <v>1.6300699747630518</v>
      </c>
    </row>
    <row r="53" spans="1:50" x14ac:dyDescent="0.35">
      <c r="A53" t="s">
        <v>88</v>
      </c>
      <c r="B53" s="178"/>
      <c r="C53" s="179"/>
      <c r="D53" s="180"/>
      <c r="E53" s="178"/>
      <c r="F53" s="179"/>
      <c r="G53" s="180"/>
      <c r="H53" s="178"/>
      <c r="I53" s="179"/>
      <c r="J53" s="180"/>
      <c r="K53" s="178"/>
      <c r="L53" s="179"/>
      <c r="M53" s="180"/>
      <c r="N53" s="178"/>
      <c r="O53" s="179"/>
      <c r="P53" s="179"/>
      <c r="Q53" s="178"/>
      <c r="R53" s="179"/>
      <c r="S53" s="179"/>
      <c r="T53" s="178"/>
      <c r="U53" s="179"/>
      <c r="V53" s="179"/>
      <c r="W53" s="376"/>
      <c r="X53" s="380"/>
      <c r="Y53" s="381"/>
      <c r="Z53" s="385"/>
      <c r="AA53" s="396"/>
      <c r="AB53" s="397"/>
      <c r="AC53" s="398"/>
      <c r="AD53" s="380"/>
      <c r="AE53" s="381"/>
      <c r="AF53" s="385"/>
      <c r="AG53" s="396"/>
      <c r="AH53" s="397"/>
      <c r="AI53" s="401"/>
      <c r="AJ53" s="380"/>
      <c r="AK53" s="381"/>
      <c r="AL53" s="385"/>
      <c r="AM53" s="380"/>
      <c r="AN53" s="378"/>
      <c r="AO53" s="379"/>
      <c r="AP53" s="380"/>
      <c r="AQ53" s="378"/>
      <c r="AR53" s="379"/>
      <c r="AS53" s="380"/>
      <c r="AT53" s="378"/>
      <c r="AU53" s="379"/>
      <c r="AV53" s="380"/>
      <c r="AW53" s="378"/>
      <c r="AX53" s="379"/>
    </row>
    <row r="54" spans="1:50" x14ac:dyDescent="0.35">
      <c r="A54" t="s">
        <v>233</v>
      </c>
      <c r="B54" s="178">
        <f>'2014 RAW DATA'!B53</f>
        <v>537.31413999999995</v>
      </c>
      <c r="C54" s="179">
        <f t="shared" si="70"/>
        <v>1109.6321660000001</v>
      </c>
      <c r="D54" s="180">
        <f>'2014 RAW DATA'!D53</f>
        <v>2.065146035427246</v>
      </c>
      <c r="E54" s="178">
        <f>'2015 RAW DATA'!B53</f>
        <v>538.06962999999996</v>
      </c>
      <c r="F54" s="179">
        <v>1061.223371</v>
      </c>
      <c r="G54" s="180">
        <f>'2015 RAW DATA'!D53</f>
        <v>1.9722788870280601</v>
      </c>
      <c r="H54" s="178">
        <f>'2016 RAW DATA'!B53</f>
        <v>537.16795999999999</v>
      </c>
      <c r="I54" s="179">
        <f t="shared" si="71"/>
        <v>1081.1182080000001</v>
      </c>
      <c r="J54" s="180">
        <f>'2016 RAW DATA'!D53</f>
        <v>2.0126260099355147</v>
      </c>
      <c r="K54" s="178">
        <f>'2017 RAW DATA'!B53</f>
        <v>500.1</v>
      </c>
      <c r="L54" s="179">
        <f t="shared" si="72"/>
        <v>824.1</v>
      </c>
      <c r="M54" s="180">
        <f>'2017 RAW DATA'!D53</f>
        <v>1.6478704259148169</v>
      </c>
      <c r="N54" s="178">
        <f>'2017 NEW RAW DATA '!B54</f>
        <v>490.0469999999998</v>
      </c>
      <c r="O54" s="179">
        <f>'2017 NEW RAW DATA '!C54</f>
        <v>806.33954999999912</v>
      </c>
      <c r="P54" s="180">
        <f>'2017 NEW RAW DATA '!D54</f>
        <v>1.6454330911116677</v>
      </c>
      <c r="Q54" s="178">
        <f>'2018 RAW DATA'!B54</f>
        <v>486.45899999999966</v>
      </c>
      <c r="R54" s="179">
        <f>'2018 RAW DATA'!C54</f>
        <v>806.82928000000072</v>
      </c>
      <c r="S54" s="180">
        <f>'2018 RAW DATA'!D54</f>
        <v>1.6585761184395833</v>
      </c>
      <c r="T54" s="178">
        <f>'2019 RAW DATA'!B54</f>
        <v>426.07999999999953</v>
      </c>
      <c r="U54" s="179">
        <f>'2019 RAW DATA'!C54</f>
        <v>727.24724999999921</v>
      </c>
      <c r="V54" s="180">
        <f>'2019 RAW DATA'!D54</f>
        <v>1.7068326370634623</v>
      </c>
      <c r="W54" s="376">
        <v>0.02</v>
      </c>
      <c r="X54" s="377">
        <f>+T54</f>
        <v>426.07999999999953</v>
      </c>
      <c r="Y54" s="378">
        <f t="shared" si="80"/>
        <v>741.7921949999992</v>
      </c>
      <c r="Z54" s="379">
        <f>+Y54/X54</f>
        <v>1.7409692898047315</v>
      </c>
      <c r="AA54" s="396">
        <f>'2020 RAW DATA'!B54</f>
        <v>484.5730000000006</v>
      </c>
      <c r="AB54" s="397">
        <f>'2020 RAW DATA'!C54</f>
        <v>713.32116000000008</v>
      </c>
      <c r="AC54" s="398">
        <f>'2020 RAW DATA'!D54</f>
        <v>1.472061299329511</v>
      </c>
      <c r="AD54" s="377">
        <f>+X54</f>
        <v>426.07999999999953</v>
      </c>
      <c r="AE54" s="378">
        <f>+U54*(100%+W54)^2</f>
        <v>756.62803889999918</v>
      </c>
      <c r="AF54" s="379">
        <f>+AE54/AD54</f>
        <v>1.7757886756008261</v>
      </c>
      <c r="AG54" s="396">
        <f>'2021 RAW Data'!B54</f>
        <v>491.01600000000042</v>
      </c>
      <c r="AH54" s="397">
        <f>'2021 RAW Data'!C54</f>
        <v>761.80154999999979</v>
      </c>
      <c r="AI54" s="400">
        <f>+AH54/AG54</f>
        <v>1.5514800943350098</v>
      </c>
      <c r="AJ54" s="377">
        <f>+AD54</f>
        <v>426.07999999999953</v>
      </c>
      <c r="AK54" s="378">
        <f>+U54*(100%+W54)^3</f>
        <v>771.76059967799915</v>
      </c>
      <c r="AL54" s="379">
        <f>+AK54/AJ54</f>
        <v>1.8113044491128427</v>
      </c>
      <c r="AM54" s="377">
        <f t="shared" si="73"/>
        <v>426.07999999999953</v>
      </c>
      <c r="AN54" s="378">
        <f t="shared" si="69"/>
        <v>787.19581167155911</v>
      </c>
      <c r="AO54" s="379">
        <f t="shared" si="74"/>
        <v>1.8475305380950995</v>
      </c>
      <c r="AP54" s="377">
        <f t="shared" si="75"/>
        <v>426.07999999999953</v>
      </c>
      <c r="AQ54" s="378">
        <f>+U54*(100%+W54)^5</f>
        <v>802.93972790499038</v>
      </c>
      <c r="AR54" s="379">
        <f>+AQ54/AP54</f>
        <v>1.8844811488570017</v>
      </c>
      <c r="AS54" s="377">
        <f t="shared" si="76"/>
        <v>426.07999999999953</v>
      </c>
      <c r="AT54" s="378">
        <f t="shared" si="77"/>
        <v>818.99852246309024</v>
      </c>
      <c r="AU54" s="379">
        <f>+AT54/AS54</f>
        <v>1.9221707718341419</v>
      </c>
      <c r="AV54" s="377">
        <f t="shared" si="78"/>
        <v>426.07999999999953</v>
      </c>
      <c r="AW54" s="378">
        <f t="shared" si="79"/>
        <v>835.37849291235182</v>
      </c>
      <c r="AX54" s="379">
        <f>+AW54/AV54</f>
        <v>1.960614187270824</v>
      </c>
    </row>
    <row r="55" spans="1:50" x14ac:dyDescent="0.35">
      <c r="A55" t="s">
        <v>90</v>
      </c>
      <c r="B55" s="178"/>
      <c r="C55" s="179"/>
      <c r="D55" s="180"/>
      <c r="E55" s="178"/>
      <c r="F55" s="179"/>
      <c r="G55" s="180"/>
      <c r="H55" s="178"/>
      <c r="I55" s="179"/>
      <c r="J55" s="180"/>
      <c r="K55" s="178"/>
      <c r="L55" s="179"/>
      <c r="M55" s="180"/>
      <c r="N55" s="178"/>
      <c r="O55" s="179"/>
      <c r="P55" s="179"/>
      <c r="Q55" s="178"/>
      <c r="R55" s="179"/>
      <c r="S55" s="179"/>
      <c r="T55" s="178"/>
      <c r="U55" s="179"/>
      <c r="V55" s="179"/>
      <c r="W55" s="376"/>
      <c r="X55" s="380"/>
      <c r="Y55" s="381"/>
      <c r="Z55" s="385"/>
      <c r="AA55" s="396"/>
      <c r="AB55" s="397"/>
      <c r="AC55" s="398"/>
      <c r="AD55" s="380"/>
      <c r="AE55" s="381"/>
      <c r="AF55" s="385"/>
      <c r="AG55" s="396"/>
      <c r="AH55" s="397"/>
      <c r="AI55" s="401"/>
      <c r="AJ55" s="380"/>
      <c r="AK55" s="381"/>
      <c r="AL55" s="385"/>
      <c r="AM55" s="380"/>
      <c r="AN55" s="378"/>
      <c r="AO55" s="379"/>
      <c r="AP55" s="380"/>
      <c r="AQ55" s="378"/>
      <c r="AR55" s="379"/>
      <c r="AS55" s="380"/>
      <c r="AT55" s="378"/>
      <c r="AU55" s="379"/>
      <c r="AV55" s="380"/>
      <c r="AW55" s="378"/>
      <c r="AX55" s="379"/>
    </row>
    <row r="56" spans="1:50" x14ac:dyDescent="0.35">
      <c r="A56" t="s">
        <v>91</v>
      </c>
      <c r="B56" s="178">
        <f>'2014 RAW DATA'!B55</f>
        <v>91.649590000000003</v>
      </c>
      <c r="C56" s="179">
        <f t="shared" si="70"/>
        <v>98.480971139999994</v>
      </c>
      <c r="D56" s="180">
        <f>'2014 RAW DATA'!D55</f>
        <v>1.0745380436508225</v>
      </c>
      <c r="E56" s="178">
        <f>'2015 RAW DATA'!B55</f>
        <v>91.649590000000003</v>
      </c>
      <c r="F56" s="179">
        <v>97.872253119999996</v>
      </c>
      <c r="G56" s="180">
        <f>'2015 RAW DATA'!D55</f>
        <v>1.0678962461261419</v>
      </c>
      <c r="H56" s="178">
        <f>'2016 RAW DATA'!B55</f>
        <v>91.649760000000001</v>
      </c>
      <c r="I56" s="179">
        <f t="shared" si="71"/>
        <v>96.576353740000002</v>
      </c>
      <c r="J56" s="180">
        <f>'2016 RAW DATA'!D55</f>
        <v>1.0537545732798428</v>
      </c>
      <c r="K56" s="178">
        <f>'2017 RAW DATA'!B55</f>
        <v>29.2</v>
      </c>
      <c r="L56" s="179">
        <f t="shared" si="72"/>
        <v>31.999999999999996</v>
      </c>
      <c r="M56" s="180">
        <f>'2017 RAW DATA'!D55</f>
        <v>1.095890410958904</v>
      </c>
      <c r="N56" s="178">
        <f>'2017 NEW RAW DATA '!B56</f>
        <v>29.152999999999995</v>
      </c>
      <c r="O56" s="179">
        <f>'2017 NEW RAW DATA '!C56</f>
        <v>32.026849999999996</v>
      </c>
      <c r="P56" s="180">
        <f>'2017 NEW RAW DATA '!D56</f>
        <v>1.0985781909237471</v>
      </c>
      <c r="Q56" s="178">
        <f>'2018 RAW DATA'!B56</f>
        <v>29.152999999999995</v>
      </c>
      <c r="R56" s="179">
        <f>'2018 RAW DATA'!C56</f>
        <v>32.519170000000003</v>
      </c>
      <c r="S56" s="180">
        <f>'2018 RAW DATA'!D56</f>
        <v>1.1154656467601964</v>
      </c>
      <c r="T56" s="178">
        <f>'2019 RAW DATA'!B56</f>
        <v>24.888999999999996</v>
      </c>
      <c r="U56" s="179">
        <f>'2019 RAW DATA'!C56</f>
        <v>26.976450000000007</v>
      </c>
      <c r="V56" s="180">
        <f>'2019 RAW DATA'!D56</f>
        <v>1.0838703845072124</v>
      </c>
      <c r="W56" s="376">
        <v>0.01</v>
      </c>
      <c r="X56" s="377">
        <f>+T56</f>
        <v>24.888999999999996</v>
      </c>
      <c r="Y56" s="378">
        <f t="shared" si="80"/>
        <v>27.246214500000008</v>
      </c>
      <c r="Z56" s="379">
        <f>+Y56/X56</f>
        <v>1.0947090883522845</v>
      </c>
      <c r="AA56" s="396">
        <f>'2020 RAW DATA'!B56</f>
        <v>29.520000000000003</v>
      </c>
      <c r="AB56" s="397">
        <f>'2020 RAW DATA'!C56</f>
        <v>32.239130000000003</v>
      </c>
      <c r="AC56" s="398">
        <f>'2020 RAW DATA'!D56</f>
        <v>1.0921114498644986</v>
      </c>
      <c r="AD56" s="377">
        <f>+X56</f>
        <v>24.888999999999996</v>
      </c>
      <c r="AE56" s="378">
        <f>+U56*(100%+W56)^2</f>
        <v>27.518676645000006</v>
      </c>
      <c r="AF56" s="379">
        <f>+AE56/AD56</f>
        <v>1.1056561792358075</v>
      </c>
      <c r="AG56" s="396">
        <f>'2021 RAW Data'!B56</f>
        <v>29.545999999999999</v>
      </c>
      <c r="AH56" s="397">
        <f>'2021 RAW Data'!C56</f>
        <v>33.13944</v>
      </c>
      <c r="AI56" s="400">
        <f>+AH56/AG56</f>
        <v>1.1216218777499494</v>
      </c>
      <c r="AJ56" s="377">
        <f>+AD56</f>
        <v>24.888999999999996</v>
      </c>
      <c r="AK56" s="378">
        <f>+U56*(100%+W56)^3</f>
        <v>27.793863411450005</v>
      </c>
      <c r="AL56" s="379">
        <f>+AK56/AJ56</f>
        <v>1.1167127410281654</v>
      </c>
      <c r="AM56" s="377">
        <f t="shared" si="73"/>
        <v>24.888999999999996</v>
      </c>
      <c r="AN56" s="378">
        <f t="shared" si="69"/>
        <v>28.071802045564507</v>
      </c>
      <c r="AO56" s="379">
        <f t="shared" si="74"/>
        <v>1.1278798684384472</v>
      </c>
      <c r="AP56" s="377">
        <f t="shared" si="75"/>
        <v>24.888999999999996</v>
      </c>
      <c r="AQ56" s="378">
        <f>+U56*(100%+W56)^5</f>
        <v>28.352520066020151</v>
      </c>
      <c r="AR56" s="379">
        <f>+AQ56/AP56</f>
        <v>1.1391586671228315</v>
      </c>
      <c r="AS56" s="377">
        <f t="shared" si="76"/>
        <v>24.888999999999996</v>
      </c>
      <c r="AT56" s="378">
        <f t="shared" si="77"/>
        <v>28.636045266680359</v>
      </c>
      <c r="AU56" s="379">
        <f>+AT56/AS56</f>
        <v>1.1505502537940602</v>
      </c>
      <c r="AV56" s="377">
        <f t="shared" si="78"/>
        <v>24.888999999999996</v>
      </c>
      <c r="AW56" s="378">
        <f t="shared" si="79"/>
        <v>28.922405719347154</v>
      </c>
      <c r="AX56" s="379">
        <f>+AW56/AV56</f>
        <v>1.1620557563320004</v>
      </c>
    </row>
    <row r="57" spans="1:50" x14ac:dyDescent="0.35">
      <c r="A57" t="s">
        <v>92</v>
      </c>
      <c r="B57" s="178">
        <f>'2014 RAW DATA'!B56</f>
        <v>71.000209999999996</v>
      </c>
      <c r="C57" s="179">
        <f t="shared" si="70"/>
        <v>79.381143050000006</v>
      </c>
      <c r="D57" s="180">
        <f>'2014 RAW DATA'!D56</f>
        <v>1.1180409614281424</v>
      </c>
      <c r="E57" s="178">
        <f>'2015 RAW DATA'!B56</f>
        <v>71.000209999999996</v>
      </c>
      <c r="F57" s="179">
        <v>79.305011050000005</v>
      </c>
      <c r="G57" s="180">
        <f>'2015 RAW DATA'!D56</f>
        <v>1.1169686829095296</v>
      </c>
      <c r="H57" s="178">
        <f>'2016 RAW DATA'!B56</f>
        <v>71.000280000000004</v>
      </c>
      <c r="I57" s="179">
        <f t="shared" si="71"/>
        <v>76.147086580000007</v>
      </c>
      <c r="J57" s="180">
        <f>'2016 RAW DATA'!D56</f>
        <v>1.0724899476452769</v>
      </c>
      <c r="K57" s="178">
        <f>'2017 RAW DATA'!B56</f>
        <v>62.2</v>
      </c>
      <c r="L57" s="179">
        <f t="shared" si="72"/>
        <v>71.7</v>
      </c>
      <c r="M57" s="180">
        <f>'2017 RAW DATA'!D56</f>
        <v>1.152733118971061</v>
      </c>
      <c r="N57" s="178">
        <f>'2017 NEW RAW DATA '!B57</f>
        <v>62.155999999999999</v>
      </c>
      <c r="O57" s="179">
        <f>'2017 NEW RAW DATA '!C57</f>
        <v>71.743269999999995</v>
      </c>
      <c r="P57" s="180">
        <f>'2017 NEW RAW DATA '!D57</f>
        <v>1.1542452860544437</v>
      </c>
      <c r="Q57" s="178">
        <f>'2018 RAW DATA'!B57</f>
        <v>62.155999999999999</v>
      </c>
      <c r="R57" s="179">
        <f>'2018 RAW DATA'!C57</f>
        <v>75.353400000000008</v>
      </c>
      <c r="S57" s="180">
        <f>'2018 RAW DATA'!D57</f>
        <v>1.2123270480725916</v>
      </c>
      <c r="T57" s="178">
        <f>'2019 RAW DATA'!B57</f>
        <v>56.039000000000001</v>
      </c>
      <c r="U57" s="179">
        <f>'2019 RAW DATA'!C57</f>
        <v>60.682850000000009</v>
      </c>
      <c r="V57" s="180">
        <f>'2019 RAW DATA'!D57</f>
        <v>1.0828681810881708</v>
      </c>
      <c r="W57" s="376">
        <v>0.01</v>
      </c>
      <c r="X57" s="377">
        <f>+T57</f>
        <v>56.039000000000001</v>
      </c>
      <c r="Y57" s="378">
        <f t="shared" si="80"/>
        <v>61.289678500000008</v>
      </c>
      <c r="Z57" s="379">
        <f>+Y57/X57</f>
        <v>1.0936968628990527</v>
      </c>
      <c r="AA57" s="396">
        <f>'2020 RAW DATA'!B57</f>
        <v>62.131999999999998</v>
      </c>
      <c r="AB57" s="397">
        <f>'2020 RAW DATA'!C57</f>
        <v>66.372870000000006</v>
      </c>
      <c r="AC57" s="398">
        <f>'2020 RAW DATA'!D57</f>
        <v>1.0682558102105197</v>
      </c>
      <c r="AD57" s="377">
        <f>+X57</f>
        <v>56.039000000000001</v>
      </c>
      <c r="AE57" s="378">
        <f>+U57*(100%+W57)^2</f>
        <v>61.902575285000012</v>
      </c>
      <c r="AF57" s="379">
        <f>+AE57/AD57</f>
        <v>1.1046338315280431</v>
      </c>
      <c r="AG57" s="396">
        <f>'2021 RAW Data'!B57</f>
        <v>62.130999999999993</v>
      </c>
      <c r="AH57" s="397">
        <f>'2021 RAW Data'!C57</f>
        <v>68.913350000000037</v>
      </c>
      <c r="AI57" s="400">
        <f>+AH57/AG57</f>
        <v>1.1091620929970554</v>
      </c>
      <c r="AJ57" s="377">
        <f>+AD57</f>
        <v>56.039000000000001</v>
      </c>
      <c r="AK57" s="378">
        <f>+U57*(100%+W57)^3</f>
        <v>62.521601037850004</v>
      </c>
      <c r="AL57" s="379">
        <f>+AK57/AJ57</f>
        <v>1.1156801698433234</v>
      </c>
      <c r="AM57" s="377">
        <f t="shared" si="73"/>
        <v>56.039000000000001</v>
      </c>
      <c r="AN57" s="378">
        <f t="shared" si="69"/>
        <v>63.146817048228513</v>
      </c>
      <c r="AO57" s="379">
        <f t="shared" si="74"/>
        <v>1.1268369715417568</v>
      </c>
      <c r="AP57" s="377">
        <f t="shared" si="75"/>
        <v>56.039000000000001</v>
      </c>
      <c r="AQ57" s="378">
        <f>+U57*(100%+W57)^5</f>
        <v>63.778285218710792</v>
      </c>
      <c r="AR57" s="379">
        <f>+AQ57/AP57</f>
        <v>1.1381053412571742</v>
      </c>
      <c r="AS57" s="377">
        <f t="shared" si="76"/>
        <v>56.039000000000001</v>
      </c>
      <c r="AT57" s="378">
        <f t="shared" si="77"/>
        <v>64.416068070897907</v>
      </c>
      <c r="AU57" s="379">
        <f>+AT57/AS57</f>
        <v>1.1494863946697462</v>
      </c>
      <c r="AV57" s="377">
        <f t="shared" si="78"/>
        <v>56.039000000000001</v>
      </c>
      <c r="AW57" s="378">
        <f t="shared" si="79"/>
        <v>65.060228751606871</v>
      </c>
      <c r="AX57" s="379">
        <f>+AW57/AV57</f>
        <v>1.1609812586164434</v>
      </c>
    </row>
    <row r="58" spans="1:50" x14ac:dyDescent="0.35">
      <c r="A58" t="s">
        <v>93</v>
      </c>
      <c r="B58" s="178"/>
      <c r="C58" s="179"/>
      <c r="D58" s="180"/>
      <c r="E58" s="178"/>
      <c r="F58" s="179"/>
      <c r="G58" s="180"/>
      <c r="H58" s="178"/>
      <c r="I58" s="179"/>
      <c r="J58" s="180"/>
      <c r="K58" s="178"/>
      <c r="L58" s="179"/>
      <c r="M58" s="180"/>
      <c r="N58" s="178"/>
      <c r="O58" s="179"/>
      <c r="P58" s="179"/>
      <c r="Q58" s="178"/>
      <c r="R58" s="179"/>
      <c r="S58" s="179"/>
      <c r="T58" s="178"/>
      <c r="U58" s="179"/>
      <c r="V58" s="179"/>
      <c r="W58" s="376"/>
      <c r="X58" s="380"/>
      <c r="Y58" s="381"/>
      <c r="Z58" s="385"/>
      <c r="AA58" s="396"/>
      <c r="AB58" s="397"/>
      <c r="AC58" s="398"/>
      <c r="AD58" s="380"/>
      <c r="AE58" s="381"/>
      <c r="AF58" s="385"/>
      <c r="AG58" s="396"/>
      <c r="AH58" s="397"/>
      <c r="AI58" s="401"/>
      <c r="AJ58" s="380"/>
      <c r="AK58" s="381"/>
      <c r="AL58" s="385"/>
      <c r="AM58" s="380"/>
      <c r="AN58" s="378"/>
      <c r="AO58" s="379"/>
      <c r="AP58" s="380"/>
      <c r="AQ58" s="378"/>
      <c r="AR58" s="379"/>
      <c r="AS58" s="380"/>
      <c r="AT58" s="378"/>
      <c r="AU58" s="379"/>
      <c r="AV58" s="380"/>
      <c r="AW58" s="378"/>
      <c r="AX58" s="379"/>
    </row>
    <row r="59" spans="1:50" x14ac:dyDescent="0.35">
      <c r="A59" t="s">
        <v>94</v>
      </c>
      <c r="B59" s="178">
        <f>'2014 RAW DATA'!B58</f>
        <v>84.064340000000001</v>
      </c>
      <c r="C59" s="179">
        <f t="shared" si="70"/>
        <v>115.12189459999999</v>
      </c>
      <c r="D59" s="180">
        <f>'2014 RAW DATA'!D58</f>
        <v>1.3694498118940801</v>
      </c>
      <c r="E59" s="178">
        <f>'2015 RAW DATA'!B58</f>
        <v>84.072749999999999</v>
      </c>
      <c r="F59" s="179">
        <v>110.54880540000001</v>
      </c>
      <c r="G59" s="180">
        <f>'2015 RAW DATA'!D58</f>
        <v>1.3149183938910052</v>
      </c>
      <c r="H59" s="178">
        <f>'2016 RAW DATA'!B58</f>
        <v>84.076300000000003</v>
      </c>
      <c r="I59" s="179">
        <f t="shared" si="71"/>
        <v>113.3990912</v>
      </c>
      <c r="J59" s="180">
        <f>'2016 RAW DATA'!D58</f>
        <v>1.3487640536036909</v>
      </c>
      <c r="K59" s="178">
        <f>'2017 RAW DATA'!B58</f>
        <v>81.7</v>
      </c>
      <c r="L59" s="179">
        <f t="shared" si="72"/>
        <v>95.600000000000009</v>
      </c>
      <c r="M59" s="180">
        <f>'2017 RAW DATA'!D58</f>
        <v>1.1701346389228886</v>
      </c>
      <c r="N59" s="178">
        <f>'2017 NEW RAW DATA '!B59</f>
        <v>81.694999999999979</v>
      </c>
      <c r="O59" s="179">
        <f>'2017 NEW RAW DATA '!C59</f>
        <v>95.58633999999995</v>
      </c>
      <c r="P59" s="180">
        <f>'2017 NEW RAW DATA '!D59</f>
        <v>1.1700390476773361</v>
      </c>
      <c r="Q59" s="178">
        <f>'2018 RAW DATA'!B59</f>
        <v>81.694999999999979</v>
      </c>
      <c r="R59" s="179">
        <f>'2018 RAW DATA'!C59</f>
        <v>100.20887999999999</v>
      </c>
      <c r="S59" s="180">
        <f>'2018 RAW DATA'!D59</f>
        <v>1.2266219474876066</v>
      </c>
      <c r="T59" s="178">
        <f>'2019 RAW DATA'!B59</f>
        <v>69.20999999999998</v>
      </c>
      <c r="U59" s="179">
        <f>'2019 RAW DATA'!C59</f>
        <v>109.57419000000003</v>
      </c>
      <c r="V59" s="180">
        <f>'2019 RAW DATA'!D59</f>
        <v>1.5832132639791947</v>
      </c>
      <c r="W59" s="376">
        <v>0.01</v>
      </c>
      <c r="X59" s="377">
        <f t="shared" ref="X59:X64" si="94">+T59</f>
        <v>69.20999999999998</v>
      </c>
      <c r="Y59" s="378">
        <f t="shared" si="80"/>
        <v>110.66993190000004</v>
      </c>
      <c r="Z59" s="379">
        <f t="shared" ref="Z59:Z64" si="95">+Y59/X59</f>
        <v>1.5990453966189868</v>
      </c>
      <c r="AA59" s="396">
        <f>'2020 RAW DATA'!B59</f>
        <v>80.431999999999974</v>
      </c>
      <c r="AB59" s="397">
        <f>'2020 RAW DATA'!C59</f>
        <v>116.06334999999999</v>
      </c>
      <c r="AC59" s="398">
        <f>'2020 RAW DATA'!D59</f>
        <v>1.4429996767455742</v>
      </c>
      <c r="AD59" s="377">
        <f>+X59</f>
        <v>69.20999999999998</v>
      </c>
      <c r="AE59" s="378">
        <f>+U59*(100%+W59)^2</f>
        <v>111.77663121900004</v>
      </c>
      <c r="AF59" s="379">
        <f t="shared" ref="AF59:AF64" si="96">+AE59/AD59</f>
        <v>1.6150358505851765</v>
      </c>
      <c r="AG59" s="396">
        <f>'2021 RAW Data'!B59</f>
        <v>80.424999999999983</v>
      </c>
      <c r="AH59" s="397">
        <f>'2021 RAW Data'!C59</f>
        <v>140.46935999999994</v>
      </c>
      <c r="AI59" s="400">
        <f>+AH59/AG59</f>
        <v>1.7465882499222873</v>
      </c>
      <c r="AJ59" s="377">
        <f>+AD59</f>
        <v>69.20999999999998</v>
      </c>
      <c r="AK59" s="378">
        <f>+U59*(100%+W59)^3</f>
        <v>112.89439753119002</v>
      </c>
      <c r="AL59" s="379">
        <f t="shared" ref="AL59:AL64" si="97">+AK59/AJ59</f>
        <v>1.6311862090910281</v>
      </c>
      <c r="AM59" s="377">
        <f t="shared" si="73"/>
        <v>69.20999999999998</v>
      </c>
      <c r="AN59" s="378">
        <f t="shared" si="69"/>
        <v>114.02334150650194</v>
      </c>
      <c r="AO59" s="379">
        <f t="shared" si="74"/>
        <v>1.6474980711819387</v>
      </c>
      <c r="AP59" s="377">
        <f t="shared" si="75"/>
        <v>69.20999999999998</v>
      </c>
      <c r="AQ59" s="378">
        <f>+U59*(100%+W59)^5</f>
        <v>115.16357492156695</v>
      </c>
      <c r="AR59" s="379">
        <f t="shared" ref="AR59:AR64" si="98">+AQ59/AP59</f>
        <v>1.6639730518937579</v>
      </c>
      <c r="AS59" s="377">
        <f t="shared" si="76"/>
        <v>69.20999999999998</v>
      </c>
      <c r="AT59" s="378">
        <f t="shared" si="77"/>
        <v>116.31521067078263</v>
      </c>
      <c r="AU59" s="379">
        <f t="shared" ref="AU59:AU64" si="99">+AT59/AS59</f>
        <v>1.6806127824126957</v>
      </c>
      <c r="AV59" s="377">
        <f t="shared" si="78"/>
        <v>69.20999999999998</v>
      </c>
      <c r="AW59" s="378">
        <f t="shared" si="79"/>
        <v>117.47836277749043</v>
      </c>
      <c r="AX59" s="379">
        <f t="shared" ref="AX59:AX64" si="100">+AW59/AV59</f>
        <v>1.6974189102368222</v>
      </c>
    </row>
    <row r="60" spans="1:50" x14ac:dyDescent="0.35">
      <c r="A60" t="s">
        <v>95</v>
      </c>
      <c r="B60" s="178">
        <f>'2014 RAW DATA'!B59</f>
        <v>27.66</v>
      </c>
      <c r="C60" s="179">
        <f t="shared" si="70"/>
        <v>34.079390590000003</v>
      </c>
      <c r="D60" s="180">
        <f>'2014 RAW DATA'!D59</f>
        <v>1.2320820892986262</v>
      </c>
      <c r="E60" s="178">
        <f>'2015 RAW DATA'!B59</f>
        <v>27.66</v>
      </c>
      <c r="F60" s="179">
        <v>34.598766019999999</v>
      </c>
      <c r="G60" s="180">
        <f>'2015 RAW DATA'!D59</f>
        <v>1.2508592198120028</v>
      </c>
      <c r="H60" s="178">
        <f>'2016 RAW DATA'!B59</f>
        <v>27.659929999999999</v>
      </c>
      <c r="I60" s="179">
        <f t="shared" si="71"/>
        <v>33.344871640000001</v>
      </c>
      <c r="J60" s="180">
        <f>'2016 RAW DATA'!D59</f>
        <v>1.2055298635969072</v>
      </c>
      <c r="K60" s="178">
        <f>'2017 RAW DATA'!B59</f>
        <v>22.9</v>
      </c>
      <c r="L60" s="179">
        <f t="shared" si="72"/>
        <v>26.3</v>
      </c>
      <c r="M60" s="180">
        <f>'2017 RAW DATA'!D59</f>
        <v>1.1484716157205241</v>
      </c>
      <c r="N60" s="178">
        <f>'2017 NEW RAW DATA '!B60</f>
        <v>22.61</v>
      </c>
      <c r="O60" s="179">
        <f>'2017 NEW RAW DATA '!C60</f>
        <v>26.092280000000002</v>
      </c>
      <c r="P60" s="180">
        <f>'2017 NEW RAW DATA '!D60</f>
        <v>1.154015037593985</v>
      </c>
      <c r="Q60" s="178">
        <f>'2018 RAW DATA'!B60</f>
        <v>22.89</v>
      </c>
      <c r="R60" s="179">
        <f>'2018 RAW DATA'!C60</f>
        <v>26.204830000000001</v>
      </c>
      <c r="S60" s="180">
        <f>'2018 RAW DATA'!D60</f>
        <v>1.1448156400174749</v>
      </c>
      <c r="T60" s="178">
        <f>'2019 RAW DATA'!B60</f>
        <v>17.527000000000001</v>
      </c>
      <c r="U60" s="179">
        <f>'2019 RAW DATA'!C60</f>
        <v>20.031450000000007</v>
      </c>
      <c r="V60" s="180">
        <f>'2019 RAW DATA'!D60</f>
        <v>1.1428909682204602</v>
      </c>
      <c r="W60" s="376">
        <v>0.01</v>
      </c>
      <c r="X60" s="377">
        <f t="shared" si="94"/>
        <v>17.527000000000001</v>
      </c>
      <c r="Y60" s="378">
        <f t="shared" si="80"/>
        <v>20.231764500000008</v>
      </c>
      <c r="Z60" s="379">
        <f t="shared" si="95"/>
        <v>1.1543198779026649</v>
      </c>
      <c r="AA60" s="396">
        <f>'2020 RAW DATA'!B60</f>
        <v>21.596</v>
      </c>
      <c r="AB60" s="397">
        <f>'2020 RAW DATA'!C60</f>
        <v>24.531659999999992</v>
      </c>
      <c r="AC60" s="398">
        <f>'2020 RAW DATA'!D60</f>
        <v>1.1359353583997032</v>
      </c>
      <c r="AD60" s="377">
        <f>+X60</f>
        <v>17.527000000000001</v>
      </c>
      <c r="AE60" s="378">
        <f>+U60*(100%+W60)^2</f>
        <v>20.434082145000009</v>
      </c>
      <c r="AF60" s="379">
        <f t="shared" si="96"/>
        <v>1.1658630766816915</v>
      </c>
      <c r="AG60" s="396">
        <f>'2021 RAW Data'!B60</f>
        <v>21.596</v>
      </c>
      <c r="AH60" s="397">
        <f>'2021 RAW Data'!C60</f>
        <v>24.804880000000001</v>
      </c>
      <c r="AI60" s="400">
        <f>+AH60/AG60</f>
        <v>1.1485867753287646</v>
      </c>
      <c r="AJ60" s="377">
        <f>+AD60</f>
        <v>17.527000000000001</v>
      </c>
      <c r="AK60" s="378">
        <f>+U60*(100%+W60)^3</f>
        <v>20.638422966450005</v>
      </c>
      <c r="AL60" s="379">
        <f t="shared" si="97"/>
        <v>1.1775217074485083</v>
      </c>
      <c r="AM60" s="377">
        <f t="shared" si="73"/>
        <v>17.527000000000001</v>
      </c>
      <c r="AN60" s="378">
        <f t="shared" si="69"/>
        <v>20.844807196114509</v>
      </c>
      <c r="AO60" s="379">
        <f t="shared" si="74"/>
        <v>1.1892969245229936</v>
      </c>
      <c r="AP60" s="377">
        <f t="shared" si="75"/>
        <v>17.527000000000001</v>
      </c>
      <c r="AQ60" s="378">
        <f t="shared" ref="AQ60:AQ64" si="101">+U60*(100%+W60)^5</f>
        <v>21.053255268075649</v>
      </c>
      <c r="AR60" s="379">
        <f t="shared" si="98"/>
        <v>1.2011898937682233</v>
      </c>
      <c r="AS60" s="377">
        <f t="shared" si="76"/>
        <v>17.527000000000001</v>
      </c>
      <c r="AT60" s="378">
        <f t="shared" si="77"/>
        <v>21.263787820756413</v>
      </c>
      <c r="AU60" s="379">
        <f t="shared" si="99"/>
        <v>1.2132017927059058</v>
      </c>
      <c r="AV60" s="377">
        <f t="shared" si="78"/>
        <v>17.527000000000001</v>
      </c>
      <c r="AW60" s="378">
        <f t="shared" si="79"/>
        <v>21.476425698963968</v>
      </c>
      <c r="AX60" s="379">
        <f t="shared" si="100"/>
        <v>1.2253338106329643</v>
      </c>
    </row>
    <row r="61" spans="1:50" s="93" customFormat="1" x14ac:dyDescent="0.35">
      <c r="A61" s="93" t="s">
        <v>96</v>
      </c>
      <c r="B61" s="511"/>
      <c r="C61" s="542"/>
      <c r="D61" s="563"/>
      <c r="E61" s="511"/>
      <c r="F61" s="542"/>
      <c r="G61" s="563"/>
      <c r="H61" s="511"/>
      <c r="I61" s="542"/>
      <c r="J61" s="563"/>
      <c r="K61" s="511"/>
      <c r="L61" s="542"/>
      <c r="M61" s="563"/>
      <c r="N61" s="564">
        <f>'2017 NEW RAW DATA '!B61</f>
        <v>213.76</v>
      </c>
      <c r="O61" s="565">
        <f>'2017 NEW RAW DATA '!C61</f>
        <v>294.20535000000007</v>
      </c>
      <c r="P61" s="566">
        <f>'2017 NEW RAW DATA '!D61</f>
        <v>1.3763349083083836</v>
      </c>
      <c r="Q61" s="564">
        <f>'2018 RAW DATA'!B61</f>
        <v>230.55300000000003</v>
      </c>
      <c r="R61" s="565">
        <f>'2018 RAW DATA'!C61</f>
        <v>316.04860999999994</v>
      </c>
      <c r="S61" s="566">
        <f>'2018 RAW DATA'!D61</f>
        <v>1.37082844291768</v>
      </c>
      <c r="T61" s="564">
        <f>'2019 RAW DATA'!B61</f>
        <v>192.11699999999993</v>
      </c>
      <c r="U61" s="565">
        <f>'2019 RAW DATA'!C61</f>
        <v>265.03955000000013</v>
      </c>
      <c r="V61" s="566">
        <f>'2019 RAW DATA'!D61</f>
        <v>1.3795736452266079</v>
      </c>
      <c r="W61" s="535">
        <v>0.02</v>
      </c>
      <c r="X61" s="567">
        <f t="shared" si="94"/>
        <v>192.11699999999993</v>
      </c>
      <c r="Y61" s="568">
        <f t="shared" si="80"/>
        <v>270.34034100000014</v>
      </c>
      <c r="Z61" s="553">
        <f t="shared" si="95"/>
        <v>1.40716511813114</v>
      </c>
      <c r="AA61" s="569">
        <f>'2020 RAW DATA'!B61</f>
        <v>453.38</v>
      </c>
      <c r="AB61" s="570">
        <f>'2020 RAW DATA'!C61</f>
        <v>593.41620000000034</v>
      </c>
      <c r="AC61" s="571">
        <f>'2020 RAW DATA'!D61</f>
        <v>1.3088715867484237</v>
      </c>
      <c r="AD61" s="567">
        <f>+X61</f>
        <v>192.11699999999993</v>
      </c>
      <c r="AE61" s="568">
        <f>+U61*(100%+W61)^2</f>
        <v>275.74714782000012</v>
      </c>
      <c r="AF61" s="553">
        <f t="shared" si="96"/>
        <v>1.4353084204937627</v>
      </c>
      <c r="AG61" s="569">
        <f>'2021 RAW Data'!B61</f>
        <v>231.36</v>
      </c>
      <c r="AH61" s="570">
        <f>'2021 RAW Data'!C61</f>
        <v>318.01</v>
      </c>
      <c r="AI61" s="553">
        <f>+AH61/AG61</f>
        <v>1.3745245504840939</v>
      </c>
      <c r="AJ61" s="567">
        <f>+AD61</f>
        <v>192.11699999999993</v>
      </c>
      <c r="AK61" s="568">
        <f>+U61*(100%+W61)^3</f>
        <v>281.2620907764001</v>
      </c>
      <c r="AL61" s="553">
        <f t="shared" si="97"/>
        <v>1.4640145889036378</v>
      </c>
      <c r="AM61" s="567">
        <f t="shared" si="73"/>
        <v>192.11699999999993</v>
      </c>
      <c r="AN61" s="570">
        <f t="shared" si="69"/>
        <v>286.88733259192816</v>
      </c>
      <c r="AO61" s="553">
        <f t="shared" si="74"/>
        <v>1.493294880681711</v>
      </c>
      <c r="AP61" s="567">
        <f t="shared" si="75"/>
        <v>192.11699999999993</v>
      </c>
      <c r="AQ61" s="568">
        <f t="shared" si="101"/>
        <v>292.62507924376672</v>
      </c>
      <c r="AR61" s="553">
        <f t="shared" si="98"/>
        <v>1.5231607782953451</v>
      </c>
      <c r="AS61" s="567">
        <f t="shared" si="76"/>
        <v>192.11699999999993</v>
      </c>
      <c r="AT61" s="568">
        <f t="shared" si="77"/>
        <v>298.47758082864203</v>
      </c>
      <c r="AU61" s="553">
        <f t="shared" si="99"/>
        <v>1.5536239938612519</v>
      </c>
      <c r="AV61" s="567">
        <f t="shared" si="78"/>
        <v>192.11699999999993</v>
      </c>
      <c r="AW61" s="568">
        <f t="shared" si="79"/>
        <v>304.44713244521483</v>
      </c>
      <c r="AX61" s="553">
        <f t="shared" si="100"/>
        <v>1.5846964737384768</v>
      </c>
    </row>
    <row r="62" spans="1:50" x14ac:dyDescent="0.35">
      <c r="A62" t="s">
        <v>98</v>
      </c>
      <c r="B62" s="178">
        <f>SUM(B36:B60)</f>
        <v>4371.6122099999993</v>
      </c>
      <c r="C62" s="179">
        <f>SUM(C36:C60)</f>
        <v>11929.833588900001</v>
      </c>
      <c r="D62" s="180">
        <f>+C62/B62</f>
        <v>2.7289322601878272</v>
      </c>
      <c r="E62" s="179">
        <f>SUM(E36:E60)</f>
        <v>4477.1596100000006</v>
      </c>
      <c r="F62" s="179">
        <f>SUM(F36:F60)</f>
        <v>11935.00016322</v>
      </c>
      <c r="G62" s="180">
        <f>+F62/E62</f>
        <v>2.665752665275205</v>
      </c>
      <c r="H62" s="179">
        <f>SUM(H36:H60)</f>
        <v>4483.5409099999997</v>
      </c>
      <c r="I62" s="179">
        <f>SUM(I36:I60)</f>
        <v>12164.6212087</v>
      </c>
      <c r="J62" s="180">
        <f>+I62/H62</f>
        <v>2.7131727919707997</v>
      </c>
      <c r="K62" s="179">
        <f>SUM(K36:K60)</f>
        <v>3698.7999999999997</v>
      </c>
      <c r="L62" s="179">
        <f>SUM(L36:L60)</f>
        <v>6190.9000000000015</v>
      </c>
      <c r="M62" s="180">
        <f>+L62/K62</f>
        <v>1.6737590569914571</v>
      </c>
      <c r="N62" s="178">
        <f>SUM(N36:N60)</f>
        <v>3574.1660000000006</v>
      </c>
      <c r="O62" s="179">
        <f>SUM(O36:O60)</f>
        <v>5934.5450999999957</v>
      </c>
      <c r="P62" s="180">
        <f>+O62/N62</f>
        <v>1.6603999646351051</v>
      </c>
      <c r="Q62" s="178">
        <f>SUM(Q36:Q60)</f>
        <v>3709.3960000000002</v>
      </c>
      <c r="R62" s="179">
        <f>SUM(R36:R60)</f>
        <v>6355.5256200000031</v>
      </c>
      <c r="S62" s="180">
        <f>+R62/Q62</f>
        <v>1.7133586222662673</v>
      </c>
      <c r="T62" s="178">
        <f>SUM(T36:T60)</f>
        <v>3324.4849999999997</v>
      </c>
      <c r="U62" s="179">
        <f>SUM(U36:U60)</f>
        <v>5760.2722700000013</v>
      </c>
      <c r="V62" s="180">
        <f>+U62/T62</f>
        <v>1.7326810829346506</v>
      </c>
      <c r="W62" s="376">
        <v>0.02</v>
      </c>
      <c r="X62" s="377">
        <f t="shared" si="94"/>
        <v>3324.4849999999997</v>
      </c>
      <c r="Y62" s="378">
        <f t="shared" si="80"/>
        <v>5875.4777154000012</v>
      </c>
      <c r="Z62" s="382">
        <f t="shared" si="95"/>
        <v>1.7673347045933436</v>
      </c>
      <c r="AA62" s="178">
        <f>SUM(AA36:AA60)</f>
        <v>4021.1859999999988</v>
      </c>
      <c r="AB62" s="179">
        <f>SUM(AB36:AB60)</f>
        <v>6203.1454800000029</v>
      </c>
      <c r="AC62" s="180">
        <f>+AB62/AA62</f>
        <v>1.5426159048599106</v>
      </c>
      <c r="AD62" s="377">
        <f t="shared" ref="AD62:AD64" si="102">+X62</f>
        <v>3324.4849999999997</v>
      </c>
      <c r="AE62" s="378">
        <f t="shared" ref="AE62:AE64" si="103">+U62*(100%+W62)^2</f>
        <v>5992.9872697080009</v>
      </c>
      <c r="AF62" s="382">
        <f t="shared" si="96"/>
        <v>1.8026813986852104</v>
      </c>
      <c r="AG62" s="178">
        <f>SUM(AG36:AG60)</f>
        <v>3854.0509999999999</v>
      </c>
      <c r="AH62" s="179">
        <f>SUM(AH36:AH60)</f>
        <v>6247.099720000002</v>
      </c>
      <c r="AI62" s="400">
        <f>+AH62/AG62</f>
        <v>1.6209177615968242</v>
      </c>
      <c r="AJ62" s="377">
        <f t="shared" ref="AJ62:AJ64" si="104">+AD62</f>
        <v>3324.4849999999997</v>
      </c>
      <c r="AK62" s="378">
        <f t="shared" ref="AK62:AK64" si="105">+U62*(100%+W62)^3</f>
        <v>6112.8470151021611</v>
      </c>
      <c r="AL62" s="382">
        <f t="shared" si="97"/>
        <v>1.8387350266589146</v>
      </c>
      <c r="AM62" s="377">
        <f t="shared" si="73"/>
        <v>3324.4849999999997</v>
      </c>
      <c r="AN62" s="467">
        <f t="shared" si="69"/>
        <v>6235.1039554042045</v>
      </c>
      <c r="AO62" s="379">
        <f t="shared" si="74"/>
        <v>1.8755097271920929</v>
      </c>
      <c r="AP62" s="377">
        <f t="shared" si="75"/>
        <v>3324.4849999999997</v>
      </c>
      <c r="AQ62" s="378">
        <f t="shared" si="101"/>
        <v>6359.8060345122885</v>
      </c>
      <c r="AR62" s="379">
        <f t="shared" si="98"/>
        <v>1.9130199217359347</v>
      </c>
      <c r="AS62" s="377">
        <f t="shared" si="76"/>
        <v>3324.4849999999997</v>
      </c>
      <c r="AT62" s="378">
        <f t="shared" si="77"/>
        <v>6487.0021552025346</v>
      </c>
      <c r="AU62" s="379">
        <f t="shared" si="99"/>
        <v>1.9512803201706537</v>
      </c>
      <c r="AV62" s="377">
        <f t="shared" si="78"/>
        <v>3324.4849999999997</v>
      </c>
      <c r="AW62" s="378">
        <f t="shared" si="79"/>
        <v>6616.7421983065842</v>
      </c>
      <c r="AX62" s="379">
        <f t="shared" si="100"/>
        <v>1.9903059265740664</v>
      </c>
    </row>
    <row r="63" spans="1:50" x14ac:dyDescent="0.35">
      <c r="A63" t="s">
        <v>99</v>
      </c>
      <c r="B63" s="178">
        <f>'2014 RAW DATA'!B60</f>
        <v>3109.1514400000001</v>
      </c>
      <c r="C63" s="179">
        <f t="shared" si="70"/>
        <v>3783.4197290000006</v>
      </c>
      <c r="D63" s="180">
        <f>'2014 RAW DATA'!D60</f>
        <v>1.2168656953551289</v>
      </c>
      <c r="E63" s="178">
        <f>'2015 RAW DATA'!B60</f>
        <v>3327.5943900000002</v>
      </c>
      <c r="F63" s="179">
        <v>3783.4197290000002</v>
      </c>
      <c r="G63" s="180">
        <f>'2015 RAW DATA'!D60</f>
        <v>1.5294884287264348</v>
      </c>
      <c r="H63" s="178">
        <f>'2016 RAW DATA'!B60</f>
        <v>3327.2820099999999</v>
      </c>
      <c r="I63" s="179">
        <f t="shared" si="71"/>
        <v>5302.6875410000002</v>
      </c>
      <c r="J63" s="180">
        <f>'2016 RAW DATA'!D60</f>
        <v>1.5936994595177101</v>
      </c>
      <c r="K63" s="178">
        <f>'2017 RAW DATA'!B60</f>
        <v>3563.4</v>
      </c>
      <c r="L63" s="179">
        <f t="shared" si="72"/>
        <v>3894.6999999999994</v>
      </c>
      <c r="M63" s="180">
        <f>'2017 RAW DATA'!D60</f>
        <v>1.092973003311444</v>
      </c>
      <c r="N63" s="178">
        <f>'2017 NEW RAW DATA '!B62</f>
        <v>3481.4009999999998</v>
      </c>
      <c r="O63" s="179">
        <f>'2017 NEW RAW DATA '!C62</f>
        <v>3844.5765799999986</v>
      </c>
      <c r="P63" s="180">
        <f>'2017 NEW RAW DATA '!D62</f>
        <v>1.1043188015399543</v>
      </c>
      <c r="Q63" s="178">
        <f>'2018 RAW DATA'!B62</f>
        <v>3508.0949999999998</v>
      </c>
      <c r="R63" s="179">
        <f>'2018 RAW DATA'!C62</f>
        <v>3946.2507400000013</v>
      </c>
      <c r="S63" s="180">
        <f>'2018 RAW DATA'!D62</f>
        <v>1.1248984819396286</v>
      </c>
      <c r="T63" s="178">
        <f>'2019 RAW DATA'!B62</f>
        <v>3237.8699999999958</v>
      </c>
      <c r="U63" s="179">
        <f>'2019 RAW DATA'!C62</f>
        <v>3635.5246799999954</v>
      </c>
      <c r="V63" s="180">
        <f>'2019 RAW DATA'!D62</f>
        <v>1.1228136645387246</v>
      </c>
      <c r="W63" s="376">
        <v>0.01</v>
      </c>
      <c r="X63" s="377">
        <f t="shared" si="94"/>
        <v>3237.8699999999958</v>
      </c>
      <c r="Y63" s="378">
        <f t="shared" si="80"/>
        <v>3671.8799267999952</v>
      </c>
      <c r="Z63" s="379">
        <f t="shared" si="95"/>
        <v>1.1340418011841118</v>
      </c>
      <c r="AA63" s="396">
        <f>'2020 RAW DATA'!B62</f>
        <v>3461.2770000000073</v>
      </c>
      <c r="AB63" s="397">
        <f>'2020 RAW DATA'!C62</f>
        <v>3743.958009999998</v>
      </c>
      <c r="AC63" s="180">
        <f>'2020 RAW DATA'!D62</f>
        <v>1.0816695716638658</v>
      </c>
      <c r="AD63" s="377">
        <f t="shared" si="102"/>
        <v>3237.8699999999958</v>
      </c>
      <c r="AE63" s="378">
        <f t="shared" si="103"/>
        <v>3708.5987260679954</v>
      </c>
      <c r="AF63" s="379">
        <f t="shared" si="96"/>
        <v>1.1453822191959528</v>
      </c>
      <c r="AG63" s="396">
        <f>'2021 RAW Data'!B62</f>
        <v>3466.3480000000072</v>
      </c>
      <c r="AH63" s="397">
        <f>'2021 RAW Data'!C62</f>
        <v>3814.8636599999959</v>
      </c>
      <c r="AI63" s="398">
        <f>'2021 RAW Data'!D62</f>
        <v>1.1005426056472078</v>
      </c>
      <c r="AJ63" s="377">
        <f t="shared" si="104"/>
        <v>3237.8699999999958</v>
      </c>
      <c r="AK63" s="378">
        <f t="shared" si="105"/>
        <v>3745.6847133286751</v>
      </c>
      <c r="AL63" s="379">
        <f t="shared" si="97"/>
        <v>1.1568360413879124</v>
      </c>
      <c r="AM63" s="377">
        <f t="shared" si="73"/>
        <v>3237.8699999999958</v>
      </c>
      <c r="AN63" s="467">
        <f t="shared" si="69"/>
        <v>3783.1415604619619</v>
      </c>
      <c r="AO63" s="379">
        <f t="shared" si="74"/>
        <v>1.1684044018017916</v>
      </c>
      <c r="AP63" s="377">
        <f t="shared" si="75"/>
        <v>3237.8699999999958</v>
      </c>
      <c r="AQ63" s="378">
        <f t="shared" si="101"/>
        <v>3820.9729760665814</v>
      </c>
      <c r="AR63" s="379">
        <f t="shared" si="98"/>
        <v>1.1800884458198095</v>
      </c>
      <c r="AS63" s="377">
        <f t="shared" si="76"/>
        <v>3237.8699999999958</v>
      </c>
      <c r="AT63" s="378">
        <f t="shared" si="77"/>
        <v>3859.1827058272479</v>
      </c>
      <c r="AU63" s="379">
        <f t="shared" si="99"/>
        <v>1.1918893302780078</v>
      </c>
      <c r="AV63" s="377">
        <f t="shared" si="78"/>
        <v>3237.8699999999958</v>
      </c>
      <c r="AW63" s="378">
        <f t="shared" si="79"/>
        <v>3897.7745328855194</v>
      </c>
      <c r="AX63" s="379">
        <f t="shared" si="100"/>
        <v>1.2038082235807874</v>
      </c>
    </row>
    <row r="64" spans="1:50" ht="15" thickBot="1" x14ac:dyDescent="0.4">
      <c r="A64" t="s">
        <v>100</v>
      </c>
      <c r="B64" s="181">
        <f>SUM(B62:B63)</f>
        <v>7480.763649999999</v>
      </c>
      <c r="C64" s="182">
        <f>SUM(C62:C63)</f>
        <v>15713.253317900002</v>
      </c>
      <c r="D64" s="183">
        <f>+C64/B64</f>
        <v>2.1004878717027777</v>
      </c>
      <c r="E64" s="181">
        <f>SUM(E62:E63)</f>
        <v>7804.7540000000008</v>
      </c>
      <c r="F64" s="182">
        <f>SUM(F62:F63)</f>
        <v>15718.419892220001</v>
      </c>
      <c r="G64" s="183">
        <f>+F64/E64</f>
        <v>2.0139545579809432</v>
      </c>
      <c r="H64" s="181">
        <f>SUM(H62:H63)</f>
        <v>7810.8229199999996</v>
      </c>
      <c r="I64" s="182">
        <f>SUM(I62:I63)</f>
        <v>17467.308749700001</v>
      </c>
      <c r="J64" s="183">
        <f>+I64/H64</f>
        <v>2.2362955771246704</v>
      </c>
      <c r="K64" s="181">
        <f>SUM(K62:K63)</f>
        <v>7262.2</v>
      </c>
      <c r="L64" s="182">
        <f>SUM(L62:L63)</f>
        <v>10085.6</v>
      </c>
      <c r="M64" s="183">
        <f>+L64/K64</f>
        <v>1.3887802594255185</v>
      </c>
      <c r="N64" s="181">
        <f>SUM(N62:N63)</f>
        <v>7055.5670000000009</v>
      </c>
      <c r="O64" s="182">
        <f>SUM(O62:O63)</f>
        <v>9779.1216799999947</v>
      </c>
      <c r="P64" s="183">
        <f>+O64/N64</f>
        <v>1.3860149978024436</v>
      </c>
      <c r="Q64" s="181">
        <f>SUM(Q62:Q63)</f>
        <v>7217.491</v>
      </c>
      <c r="R64" s="182">
        <f>SUM(R62:R63)</f>
        <v>10301.776360000003</v>
      </c>
      <c r="S64" s="183">
        <f>+R64/Q64</f>
        <v>1.4273348397663403</v>
      </c>
      <c r="T64" s="181">
        <f>SUM(T62:T63)</f>
        <v>6562.3549999999959</v>
      </c>
      <c r="U64" s="182">
        <f>SUM(U62:U63)</f>
        <v>9395.7969499999963</v>
      </c>
      <c r="V64" s="183">
        <f>+U64/T64</f>
        <v>1.4317721229650029</v>
      </c>
      <c r="W64" s="383">
        <v>0.02</v>
      </c>
      <c r="X64" s="451">
        <f t="shared" si="94"/>
        <v>6562.3549999999959</v>
      </c>
      <c r="Y64" s="452">
        <f t="shared" si="80"/>
        <v>9583.7128889999967</v>
      </c>
      <c r="Z64" s="384">
        <f t="shared" si="95"/>
        <v>1.4604075654243032</v>
      </c>
      <c r="AA64" s="181">
        <f>SUM(AA62:AA63)</f>
        <v>7482.4630000000061</v>
      </c>
      <c r="AB64" s="182">
        <f>SUM(AB62:AB63)</f>
        <v>9947.1034900000013</v>
      </c>
      <c r="AC64" s="183">
        <f>+AB64/AA64</f>
        <v>1.3293889311580951</v>
      </c>
      <c r="AD64" s="451">
        <f t="shared" si="102"/>
        <v>6562.3549999999959</v>
      </c>
      <c r="AE64" s="452">
        <f t="shared" si="103"/>
        <v>9775.3871467799963</v>
      </c>
      <c r="AF64" s="384">
        <f t="shared" si="96"/>
        <v>1.489615716732789</v>
      </c>
      <c r="AG64" s="181">
        <f>SUM(AG62:AG63)</f>
        <v>7320.3990000000067</v>
      </c>
      <c r="AH64" s="182">
        <f>SUM(AH62:AH63)</f>
        <v>10061.963379999997</v>
      </c>
      <c r="AI64" s="402">
        <f>+AH64/AG64</f>
        <v>1.3745102391276744</v>
      </c>
      <c r="AJ64" s="451">
        <f t="shared" si="104"/>
        <v>6562.3549999999959</v>
      </c>
      <c r="AK64" s="452">
        <f t="shared" si="105"/>
        <v>9970.8948897155951</v>
      </c>
      <c r="AL64" s="384">
        <f t="shared" si="97"/>
        <v>1.5194080310674447</v>
      </c>
      <c r="AM64" s="451">
        <f t="shared" si="73"/>
        <v>6562.3549999999959</v>
      </c>
      <c r="AN64" s="452">
        <f t="shared" si="69"/>
        <v>10170.312787509907</v>
      </c>
      <c r="AO64" s="392">
        <f t="shared" si="74"/>
        <v>1.5497961916887937</v>
      </c>
      <c r="AP64" s="451">
        <f t="shared" si="75"/>
        <v>6562.3549999999959</v>
      </c>
      <c r="AQ64" s="452">
        <f t="shared" si="101"/>
        <v>10373.719043260106</v>
      </c>
      <c r="AR64" s="392">
        <f t="shared" si="98"/>
        <v>1.5807921155225695</v>
      </c>
      <c r="AS64" s="451">
        <f t="shared" si="76"/>
        <v>6562.3549999999959</v>
      </c>
      <c r="AT64" s="452">
        <f t="shared" si="77"/>
        <v>10581.193424125309</v>
      </c>
      <c r="AU64" s="392">
        <f t="shared" si="99"/>
        <v>1.6124079578330213</v>
      </c>
      <c r="AV64" s="451">
        <f t="shared" si="78"/>
        <v>6562.3549999999959</v>
      </c>
      <c r="AW64" s="452">
        <f t="shared" si="79"/>
        <v>10792.817292607813</v>
      </c>
      <c r="AX64" s="392">
        <f t="shared" si="100"/>
        <v>1.6446561169896814</v>
      </c>
    </row>
    <row r="65" spans="2:17" s="32" customFormat="1" x14ac:dyDescent="0.35">
      <c r="B65" s="49"/>
      <c r="D65" s="47"/>
      <c r="O65" s="35"/>
      <c r="P65" s="35"/>
      <c r="Q65" s="35"/>
    </row>
  </sheetData>
  <mergeCells count="23">
    <mergeCell ref="B34:D34"/>
    <mergeCell ref="H34:J34"/>
    <mergeCell ref="K34:M34"/>
    <mergeCell ref="E34:G34"/>
    <mergeCell ref="N34:P34"/>
    <mergeCell ref="X34:Z34"/>
    <mergeCell ref="Q34:S34"/>
    <mergeCell ref="T34:V34"/>
    <mergeCell ref="AA34:AC34"/>
    <mergeCell ref="AJ34:AL34"/>
    <mergeCell ref="AD34:AF34"/>
    <mergeCell ref="AS34:AU34"/>
    <mergeCell ref="AV34:AX34"/>
    <mergeCell ref="AM34:AO34"/>
    <mergeCell ref="AP34:AR34"/>
    <mergeCell ref="AG34:AI34"/>
    <mergeCell ref="AG2:AJ2"/>
    <mergeCell ref="AK2:AN2"/>
    <mergeCell ref="AO2:AR2"/>
    <mergeCell ref="O2:R2"/>
    <mergeCell ref="Y2:AB2"/>
    <mergeCell ref="AC2:AF2"/>
    <mergeCell ref="S2:X2"/>
  </mergeCells>
  <phoneticPr fontId="32" type="noConversion"/>
  <pageMargins left="0.7" right="0.7" top="0.75" bottom="0.75" header="0.3" footer="0.3"/>
  <pageSetup scale="77" fitToHeight="0" orientation="landscape" r:id="rId1"/>
  <rowBreaks count="1" manualBreakCount="1">
    <brk id="33" max="29" man="1"/>
  </rowBreaks>
  <colBreaks count="2" manualBreakCount="2">
    <brk id="13" max="61" man="1"/>
    <brk id="23" max="61" man="1"/>
  </colBreaks>
  <ignoredErrors>
    <ignoredError sqref="C62:D62 G62:G63 G64 D63:D64 I62:J62 J63:J64 L62 Z64 M63 Z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A40"/>
  <sheetViews>
    <sheetView topLeftCell="A4" workbookViewId="0">
      <pane xSplit="1" topLeftCell="N1" activePane="topRight" state="frozen"/>
      <selection pane="topRight" activeCell="X10" sqref="X10"/>
    </sheetView>
  </sheetViews>
  <sheetFormatPr defaultRowHeight="14.5" x14ac:dyDescent="0.35"/>
  <cols>
    <col min="1" max="1" width="20.453125" customWidth="1"/>
    <col min="2" max="22" width="13.54296875" customWidth="1"/>
    <col min="23" max="23" width="15.7265625" customWidth="1"/>
  </cols>
  <sheetData>
    <row r="1" spans="1:27" s="32" customFormat="1" ht="15" thickBot="1" x14ac:dyDescent="0.4"/>
    <row r="2" spans="1:27" s="105" customFormat="1" ht="44" thickBot="1" x14ac:dyDescent="0.4">
      <c r="A2" s="103" t="s">
        <v>128</v>
      </c>
      <c r="B2" s="147" t="s">
        <v>246</v>
      </c>
      <c r="C2" s="148" t="s">
        <v>247</v>
      </c>
      <c r="D2" s="148" t="s">
        <v>248</v>
      </c>
      <c r="E2" s="104" t="s">
        <v>249</v>
      </c>
      <c r="F2" s="160" t="s">
        <v>250</v>
      </c>
      <c r="G2" s="160" t="s">
        <v>251</v>
      </c>
      <c r="H2" s="160" t="s">
        <v>252</v>
      </c>
      <c r="I2" s="246" t="s">
        <v>253</v>
      </c>
      <c r="J2" s="160" t="s">
        <v>254</v>
      </c>
      <c r="K2" s="160" t="s">
        <v>255</v>
      </c>
      <c r="L2" s="160" t="s">
        <v>256</v>
      </c>
      <c r="N2" s="228" t="s">
        <v>257</v>
      </c>
      <c r="O2" s="229" t="s">
        <v>258</v>
      </c>
      <c r="P2" s="107"/>
      <c r="Q2" s="228" t="s">
        <v>255</v>
      </c>
      <c r="R2" s="229" t="s">
        <v>258</v>
      </c>
      <c r="S2" s="160" t="s">
        <v>249</v>
      </c>
      <c r="T2" s="160" t="s">
        <v>251</v>
      </c>
      <c r="U2" s="160" t="s">
        <v>252</v>
      </c>
      <c r="V2" s="160" t="s">
        <v>259</v>
      </c>
      <c r="W2" s="160" t="s">
        <v>260</v>
      </c>
    </row>
    <row r="3" spans="1:27" x14ac:dyDescent="0.35">
      <c r="A3" s="56" t="s">
        <v>73</v>
      </c>
      <c r="B3" s="146">
        <f t="shared" ref="B3:H3" si="0">B10</f>
        <v>21571902</v>
      </c>
      <c r="C3" s="146">
        <f t="shared" si="0"/>
        <v>23687262</v>
      </c>
      <c r="D3" s="146">
        <f t="shared" si="0"/>
        <v>28241880</v>
      </c>
      <c r="E3" s="70">
        <f t="shared" si="0"/>
        <v>33109648</v>
      </c>
      <c r="F3" s="184">
        <f t="shared" si="0"/>
        <v>35482633</v>
      </c>
      <c r="G3" s="184">
        <f t="shared" si="0"/>
        <v>35803743</v>
      </c>
      <c r="H3" s="184">
        <f t="shared" si="0"/>
        <v>35803743</v>
      </c>
      <c r="I3" s="245">
        <f>+I10</f>
        <v>1605549</v>
      </c>
      <c r="J3" s="184">
        <f>+I3*(1+J10)^2</f>
        <v>1736561.7984000002</v>
      </c>
      <c r="K3" s="186">
        <f>L10/J3</f>
        <v>21.871154029412512</v>
      </c>
      <c r="L3" s="186">
        <f>P10</f>
        <v>22.754748652200778</v>
      </c>
      <c r="N3" s="230">
        <v>40000000</v>
      </c>
      <c r="O3" s="231">
        <v>45000000</v>
      </c>
      <c r="P3" s="108"/>
      <c r="Q3" s="234">
        <f>+N3/J3</f>
        <v>23.034020463224763</v>
      </c>
      <c r="R3" s="235">
        <f>+O3/O10</f>
        <v>23.95827757130904</v>
      </c>
      <c r="S3" s="472">
        <f t="shared" ref="S3:U3" si="1">S10</f>
        <v>19.8</v>
      </c>
      <c r="T3" s="472">
        <f t="shared" si="1"/>
        <v>20.100000000000001</v>
      </c>
      <c r="U3" s="472">
        <f t="shared" si="1"/>
        <v>20.3</v>
      </c>
      <c r="V3" s="472">
        <f t="shared" ref="V3:W3" si="2">V10</f>
        <v>9.6999999999999993</v>
      </c>
      <c r="W3" s="472">
        <f t="shared" si="2"/>
        <v>10.199999999999999</v>
      </c>
    </row>
    <row r="4" spans="1:27" s="111" customFormat="1" x14ac:dyDescent="0.35">
      <c r="A4" s="56" t="s">
        <v>78</v>
      </c>
      <c r="B4" s="146">
        <f t="shared" ref="B4:H6" si="3">B11</f>
        <v>85780062</v>
      </c>
      <c r="C4" s="146">
        <f t="shared" si="3"/>
        <v>97978878</v>
      </c>
      <c r="D4" s="146">
        <f t="shared" si="3"/>
        <v>118212828</v>
      </c>
      <c r="E4" s="70">
        <f t="shared" si="3"/>
        <v>85211896</v>
      </c>
      <c r="F4" s="184">
        <f t="shared" si="3"/>
        <v>81731307</v>
      </c>
      <c r="G4" s="184">
        <f t="shared" si="3"/>
        <v>84589045</v>
      </c>
      <c r="H4" s="184">
        <f t="shared" si="3"/>
        <v>74872736</v>
      </c>
      <c r="I4" s="245">
        <f>+I11</f>
        <v>5715476</v>
      </c>
      <c r="J4" s="184">
        <f>+I4*(1+J11)^2</f>
        <v>6181858.8416000009</v>
      </c>
      <c r="K4" s="186">
        <f>L11/J4</f>
        <v>12.84807699171647</v>
      </c>
      <c r="L4" s="186">
        <f>P11</f>
        <v>13.367139302181819</v>
      </c>
      <c r="N4" s="230">
        <v>85000000</v>
      </c>
      <c r="O4" s="231">
        <v>95000000</v>
      </c>
      <c r="P4" s="118"/>
      <c r="Q4" s="234">
        <f>+N4/J4</f>
        <v>13.749909562477187</v>
      </c>
      <c r="R4" s="235">
        <f>+O4/O11</f>
        <v>14.208160116117003</v>
      </c>
      <c r="S4" s="472">
        <f t="shared" ref="S4:U4" si="4">S11</f>
        <v>12.8</v>
      </c>
      <c r="T4" s="472">
        <f t="shared" si="4"/>
        <v>13.7</v>
      </c>
      <c r="U4" s="472">
        <f t="shared" si="4"/>
        <v>12.2</v>
      </c>
      <c r="V4" s="472">
        <f t="shared" ref="V4:W4" si="5">V11</f>
        <v>7.2</v>
      </c>
      <c r="W4" s="472">
        <f t="shared" si="5"/>
        <v>10.4</v>
      </c>
    </row>
    <row r="5" spans="1:27" s="111" customFormat="1" x14ac:dyDescent="0.35">
      <c r="A5" s="56" t="s">
        <v>82</v>
      </c>
      <c r="B5" s="146">
        <f>B12*1.7/1.69</f>
        <v>65079276.272189349</v>
      </c>
      <c r="C5" s="146">
        <f>C12*1.7/1.69</f>
        <v>69368171.065088749</v>
      </c>
      <c r="D5" s="146">
        <f>D12*1.7/1.69</f>
        <v>74387369.763313606</v>
      </c>
      <c r="E5" s="70">
        <f>E12</f>
        <v>91054404</v>
      </c>
      <c r="F5" s="184">
        <f>F12</f>
        <v>97345466</v>
      </c>
      <c r="G5" s="184">
        <f>G12</f>
        <v>111331883</v>
      </c>
      <c r="H5" s="184">
        <f>H12</f>
        <v>81121222</v>
      </c>
      <c r="I5" s="245">
        <f>+I12</f>
        <v>5594567</v>
      </c>
      <c r="J5" s="184">
        <f>+I5*(1+J12)^2</f>
        <v>6051083.667200001</v>
      </c>
      <c r="K5" s="186">
        <f>L12/J5</f>
        <v>14.221153933807567</v>
      </c>
      <c r="L5" s="186">
        <f>P12</f>
        <v>14.795688552733395</v>
      </c>
      <c r="N5" s="230">
        <v>90000000</v>
      </c>
      <c r="O5" s="231">
        <v>100000000</v>
      </c>
      <c r="P5" s="118"/>
      <c r="Q5" s="234">
        <f>+N5/J5</f>
        <v>14.873368961636821</v>
      </c>
      <c r="R5" s="235">
        <f>+O5/O12</f>
        <v>15.279184091096338</v>
      </c>
      <c r="S5" s="472">
        <f>S12</f>
        <v>15.5</v>
      </c>
      <c r="T5" s="472">
        <f>T12</f>
        <v>18.3</v>
      </c>
      <c r="U5" s="472">
        <f>U12</f>
        <v>13.4</v>
      </c>
      <c r="V5" s="472">
        <f>V12</f>
        <v>7.9</v>
      </c>
      <c r="W5" s="472">
        <f>W12</f>
        <v>12.2</v>
      </c>
    </row>
    <row r="6" spans="1:27" ht="15" thickBot="1" x14ac:dyDescent="0.4">
      <c r="A6" s="56" t="s">
        <v>233</v>
      </c>
      <c r="B6" s="146">
        <f t="shared" si="3"/>
        <v>15817809</v>
      </c>
      <c r="C6" s="146">
        <f t="shared" si="3"/>
        <v>17572089</v>
      </c>
      <c r="D6" s="146">
        <f t="shared" si="3"/>
        <v>22384998</v>
      </c>
      <c r="E6" s="70">
        <f t="shared" si="3"/>
        <v>19444328</v>
      </c>
      <c r="F6" s="184">
        <f t="shared" si="3"/>
        <v>20825312</v>
      </c>
      <c r="G6" s="184">
        <f t="shared" si="3"/>
        <v>23205347</v>
      </c>
      <c r="H6" s="184">
        <f t="shared" si="3"/>
        <v>23602020</v>
      </c>
      <c r="I6" s="245">
        <f>+I13</f>
        <v>1983363</v>
      </c>
      <c r="J6" s="184">
        <f>+I6*(1+J13)^2</f>
        <v>2063490.8651999999</v>
      </c>
      <c r="K6" s="186">
        <f>L13/J6</f>
        <v>11.900000151258244</v>
      </c>
      <c r="L6" s="186">
        <f>P13</f>
        <v>12.380760157369076</v>
      </c>
      <c r="N6" s="232">
        <v>28000000</v>
      </c>
      <c r="O6" s="233">
        <v>31000000</v>
      </c>
      <c r="P6" s="108"/>
      <c r="Q6" s="234">
        <f>+N6/J6</f>
        <v>13.569238649033784</v>
      </c>
      <c r="R6" s="235">
        <f>+O6/O13</f>
        <v>14.439720921899793</v>
      </c>
      <c r="S6" s="472">
        <f t="shared" ref="S6:U6" si="6">S13</f>
        <v>9.6999999999999993</v>
      </c>
      <c r="T6" s="472">
        <f t="shared" si="6"/>
        <v>10.8</v>
      </c>
      <c r="U6" s="472">
        <f t="shared" si="6"/>
        <v>11.1</v>
      </c>
      <c r="V6" s="472">
        <f t="shared" ref="V6:W6" si="7">V13</f>
        <v>5.7</v>
      </c>
      <c r="W6" s="472">
        <f t="shared" si="7"/>
        <v>9.6999999999999993</v>
      </c>
    </row>
    <row r="7" spans="1:27" ht="15" thickBot="1" x14ac:dyDescent="0.4">
      <c r="A7" s="57" t="s">
        <v>98</v>
      </c>
      <c r="B7" s="149">
        <f t="shared" ref="B7:H7" si="8">B18</f>
        <v>187866230</v>
      </c>
      <c r="C7" s="149">
        <f t="shared" si="8"/>
        <v>208198352</v>
      </c>
      <c r="D7" s="149">
        <f t="shared" si="8"/>
        <v>242789503</v>
      </c>
      <c r="E7" s="71">
        <f t="shared" si="8"/>
        <v>228820276</v>
      </c>
      <c r="F7" s="185">
        <f t="shared" si="8"/>
        <v>235384718</v>
      </c>
      <c r="G7" s="185">
        <f t="shared" si="8"/>
        <v>254930018</v>
      </c>
      <c r="H7" s="185">
        <f t="shared" si="8"/>
        <v>215399721</v>
      </c>
      <c r="I7" s="247"/>
      <c r="J7" s="185"/>
      <c r="K7" s="185"/>
      <c r="L7" s="187"/>
      <c r="S7" s="473">
        <f t="shared" ref="S7:U7" si="9">S18</f>
        <v>0</v>
      </c>
      <c r="T7" s="473">
        <f t="shared" si="9"/>
        <v>0</v>
      </c>
      <c r="U7" s="473">
        <f t="shared" si="9"/>
        <v>0</v>
      </c>
      <c r="V7" s="473">
        <f t="shared" ref="V7:W7" si="10">V18</f>
        <v>0</v>
      </c>
      <c r="W7" s="473">
        <f t="shared" si="10"/>
        <v>0</v>
      </c>
    </row>
    <row r="8" spans="1:27" s="32" customFormat="1" ht="15" thickBot="1" x14ac:dyDescent="0.4">
      <c r="B8" s="38"/>
      <c r="C8" s="38"/>
      <c r="D8" s="38"/>
      <c r="E8" s="38"/>
      <c r="F8" s="38"/>
      <c r="G8" s="38"/>
      <c r="H8" s="38"/>
      <c r="I8" s="38"/>
      <c r="S8" s="32" t="s">
        <v>261</v>
      </c>
      <c r="X8" s="507" t="s">
        <v>261</v>
      </c>
    </row>
    <row r="9" spans="1:27" ht="58.5" thickBot="1" x14ac:dyDescent="0.4">
      <c r="A9" s="61" t="s">
        <v>128</v>
      </c>
      <c r="B9" s="100" t="str">
        <f>+B2</f>
        <v xml:space="preserve"> 2014 PHED</v>
      </c>
      <c r="C9" s="100" t="str">
        <f>+C2</f>
        <v xml:space="preserve"> 2015 PHED</v>
      </c>
      <c r="D9" s="100" t="str">
        <f>+D2</f>
        <v xml:space="preserve"> 2016 PHED</v>
      </c>
      <c r="E9" s="156" t="str">
        <f>+E2</f>
        <v>2017 PHED</v>
      </c>
      <c r="F9" s="188" t="s">
        <v>250</v>
      </c>
      <c r="G9" s="188" t="s">
        <v>251</v>
      </c>
      <c r="H9" s="188" t="s">
        <v>252</v>
      </c>
      <c r="I9" s="248" t="s">
        <v>262</v>
      </c>
      <c r="J9" s="54" t="s">
        <v>263</v>
      </c>
      <c r="K9" s="54" t="s">
        <v>264</v>
      </c>
      <c r="L9" s="189" t="s">
        <v>265</v>
      </c>
      <c r="M9" s="176" t="s">
        <v>266</v>
      </c>
      <c r="N9" s="176" t="s">
        <v>267</v>
      </c>
      <c r="O9" s="246" t="s">
        <v>268</v>
      </c>
      <c r="P9" s="160" t="s">
        <v>256</v>
      </c>
      <c r="Q9" s="54" t="s">
        <v>263</v>
      </c>
      <c r="R9" s="54" t="s">
        <v>264</v>
      </c>
      <c r="S9" s="160" t="s">
        <v>249</v>
      </c>
      <c r="T9" s="160" t="s">
        <v>251</v>
      </c>
      <c r="U9" s="160" t="s">
        <v>252</v>
      </c>
      <c r="V9" s="160" t="s">
        <v>259</v>
      </c>
      <c r="W9" s="160" t="s">
        <v>260</v>
      </c>
      <c r="X9" s="228" t="s">
        <v>255</v>
      </c>
      <c r="Y9" s="229" t="s">
        <v>258</v>
      </c>
      <c r="Z9" s="228" t="s">
        <v>269</v>
      </c>
      <c r="AA9" s="229" t="s">
        <v>270</v>
      </c>
    </row>
    <row r="10" spans="1:27" x14ac:dyDescent="0.35">
      <c r="A10" s="56" t="s">
        <v>73</v>
      </c>
      <c r="B10" s="64">
        <v>21571902</v>
      </c>
      <c r="C10" s="64">
        <v>23687262</v>
      </c>
      <c r="D10" s="64">
        <v>28241880</v>
      </c>
      <c r="E10" s="70">
        <v>33109648</v>
      </c>
      <c r="F10" s="245">
        <v>35482633</v>
      </c>
      <c r="G10" s="245">
        <v>35803743</v>
      </c>
      <c r="H10" s="245">
        <v>35803743</v>
      </c>
      <c r="I10" s="245">
        <v>1605549</v>
      </c>
      <c r="J10" s="68">
        <v>0.04</v>
      </c>
      <c r="K10" s="68">
        <v>0.02</v>
      </c>
      <c r="L10" s="184">
        <f>+H10*(100%+$J10)*(100%+$K10)</f>
        <v>37980610.5744</v>
      </c>
      <c r="M10" s="184">
        <f>+L10*(100%+$J10)*(100%+$K10)</f>
        <v>40289831.697323523</v>
      </c>
      <c r="N10" s="184">
        <f>+M10*(100%+$J10)*(100%+$K10)</f>
        <v>42739453.464520797</v>
      </c>
      <c r="O10" s="245">
        <f>+I10*(1+J10)^4</f>
        <v>1878265.2411494404</v>
      </c>
      <c r="P10" s="186">
        <f>+N10/O10</f>
        <v>22.754748652200778</v>
      </c>
      <c r="Q10" s="102">
        <f t="shared" ref="Q10:R13" si="11">+J10</f>
        <v>0.04</v>
      </c>
      <c r="R10" s="102">
        <f t="shared" si="11"/>
        <v>0.02</v>
      </c>
      <c r="S10" s="472">
        <v>19.8</v>
      </c>
      <c r="T10" s="472">
        <v>20.100000000000001</v>
      </c>
      <c r="U10" s="472">
        <v>20.3</v>
      </c>
      <c r="V10" s="472">
        <v>9.6999999999999993</v>
      </c>
      <c r="W10" s="472">
        <v>10.199999999999999</v>
      </c>
      <c r="X10" s="234">
        <v>23</v>
      </c>
      <c r="Y10" s="235">
        <v>24</v>
      </c>
      <c r="Z10" s="234">
        <v>24</v>
      </c>
      <c r="AA10" s="235">
        <v>25</v>
      </c>
    </row>
    <row r="11" spans="1:27" x14ac:dyDescent="0.35">
      <c r="A11" s="56" t="s">
        <v>78</v>
      </c>
      <c r="B11" s="64">
        <v>85780062</v>
      </c>
      <c r="C11" s="64">
        <v>97978878</v>
      </c>
      <c r="D11" s="64">
        <v>118212828</v>
      </c>
      <c r="E11" s="70">
        <v>85211896</v>
      </c>
      <c r="F11" s="245">
        <v>81731307</v>
      </c>
      <c r="G11" s="245">
        <v>84589045</v>
      </c>
      <c r="H11" s="245">
        <v>74872736</v>
      </c>
      <c r="I11" s="245">
        <v>5715476</v>
      </c>
      <c r="J11" s="68">
        <v>0.04</v>
      </c>
      <c r="K11" s="68">
        <v>0.02</v>
      </c>
      <c r="L11" s="184">
        <f>+H11*(100%+$J11)*(100%+$K11)</f>
        <v>79424998.348800004</v>
      </c>
      <c r="M11" s="184">
        <f t="shared" ref="M11:N13" si="12">+L11*(100%+$J11)*(100%+$K11)</f>
        <v>84254038.248407051</v>
      </c>
      <c r="N11" s="184">
        <f t="shared" si="12"/>
        <v>89376683.77391021</v>
      </c>
      <c r="O11" s="245">
        <f>+I11*(1+J11)^4</f>
        <v>6686298.5230745608</v>
      </c>
      <c r="P11" s="186">
        <f>+N11/O11</f>
        <v>13.367139302181819</v>
      </c>
      <c r="Q11" s="102">
        <f t="shared" si="11"/>
        <v>0.04</v>
      </c>
      <c r="R11" s="102">
        <f t="shared" si="11"/>
        <v>0.02</v>
      </c>
      <c r="S11" s="472">
        <v>12.8</v>
      </c>
      <c r="T11" s="472">
        <v>13.7</v>
      </c>
      <c r="U11" s="472">
        <v>12.2</v>
      </c>
      <c r="V11" s="472">
        <v>7.2</v>
      </c>
      <c r="W11" s="472">
        <v>10.4</v>
      </c>
      <c r="X11" s="234">
        <v>14</v>
      </c>
      <c r="Y11" s="235">
        <v>14</v>
      </c>
      <c r="Z11" s="234">
        <v>15</v>
      </c>
      <c r="AA11" s="235">
        <v>15</v>
      </c>
    </row>
    <row r="12" spans="1:27" x14ac:dyDescent="0.35">
      <c r="A12" s="56" t="s">
        <v>82</v>
      </c>
      <c r="B12" s="64">
        <v>64696457</v>
      </c>
      <c r="C12" s="64">
        <v>68960123</v>
      </c>
      <c r="D12" s="64">
        <v>73949797</v>
      </c>
      <c r="E12" s="70">
        <v>91054404</v>
      </c>
      <c r="F12" s="245">
        <v>97345466</v>
      </c>
      <c r="G12" s="245">
        <v>111331883</v>
      </c>
      <c r="H12" s="245">
        <v>81121222</v>
      </c>
      <c r="I12" s="245">
        <v>5594567</v>
      </c>
      <c r="J12" s="68">
        <v>0.04</v>
      </c>
      <c r="K12" s="68">
        <v>0.02</v>
      </c>
      <c r="L12" s="184">
        <f>+H12*(100%+$J12)*(100%+$K12)</f>
        <v>86053392.297600016</v>
      </c>
      <c r="M12" s="184">
        <f t="shared" si="12"/>
        <v>91285438.549294099</v>
      </c>
      <c r="N12" s="184">
        <f t="shared" si="12"/>
        <v>96835593.213091195</v>
      </c>
      <c r="O12" s="245">
        <f>+I12*(1+J12)^4</f>
        <v>6544852.0944435215</v>
      </c>
      <c r="P12" s="186">
        <f>+N12/O12</f>
        <v>14.795688552733395</v>
      </c>
      <c r="Q12" s="102">
        <f t="shared" si="11"/>
        <v>0.04</v>
      </c>
      <c r="R12" s="102">
        <f t="shared" si="11"/>
        <v>0.02</v>
      </c>
      <c r="S12" s="472">
        <v>15.5</v>
      </c>
      <c r="T12" s="472">
        <v>18.3</v>
      </c>
      <c r="U12" s="472">
        <v>13.4</v>
      </c>
      <c r="V12" s="472">
        <v>7.9</v>
      </c>
      <c r="W12" s="472">
        <v>12.2</v>
      </c>
      <c r="X12" s="234">
        <v>15</v>
      </c>
      <c r="Y12" s="235">
        <v>15</v>
      </c>
      <c r="Z12" s="234">
        <v>16</v>
      </c>
      <c r="AA12" s="235">
        <v>16</v>
      </c>
    </row>
    <row r="13" spans="1:27" x14ac:dyDescent="0.35">
      <c r="A13" s="56" t="s">
        <v>233</v>
      </c>
      <c r="B13" s="64">
        <v>15817809</v>
      </c>
      <c r="C13" s="64">
        <v>17572089</v>
      </c>
      <c r="D13" s="64">
        <v>22384998</v>
      </c>
      <c r="E13" s="70">
        <v>19444328</v>
      </c>
      <c r="F13" s="245">
        <v>20825312</v>
      </c>
      <c r="G13" s="245">
        <v>23205347</v>
      </c>
      <c r="H13" s="245">
        <v>23602020</v>
      </c>
      <c r="I13" s="245">
        <v>1983363</v>
      </c>
      <c r="J13" s="68">
        <v>0.02</v>
      </c>
      <c r="K13" s="68">
        <v>0.02</v>
      </c>
      <c r="L13" s="184">
        <f>+H13*(100%+$J13)*(100%+$K13)</f>
        <v>24555541.608000003</v>
      </c>
      <c r="M13" s="184">
        <f t="shared" si="12"/>
        <v>25547585.488963202</v>
      </c>
      <c r="N13" s="184">
        <f t="shared" si="12"/>
        <v>26579707.942717317</v>
      </c>
      <c r="O13" s="245">
        <f>+I13*(1+J13)^4</f>
        <v>2146855.8961540801</v>
      </c>
      <c r="P13" s="186">
        <f>+N13/O13</f>
        <v>12.380760157369076</v>
      </c>
      <c r="Q13" s="102">
        <f t="shared" si="11"/>
        <v>0.02</v>
      </c>
      <c r="R13" s="102">
        <f t="shared" si="11"/>
        <v>0.02</v>
      </c>
      <c r="S13" s="472">
        <v>9.6999999999999993</v>
      </c>
      <c r="T13" s="472">
        <v>10.8</v>
      </c>
      <c r="U13" s="472">
        <v>11.1</v>
      </c>
      <c r="V13" s="472">
        <v>5.7</v>
      </c>
      <c r="W13" s="472">
        <v>9.6999999999999993</v>
      </c>
      <c r="X13" s="234">
        <v>14</v>
      </c>
      <c r="Y13" s="235">
        <v>14</v>
      </c>
      <c r="Z13" s="234">
        <v>14</v>
      </c>
      <c r="AA13" s="235">
        <v>15</v>
      </c>
    </row>
    <row r="14" spans="1:27" x14ac:dyDescent="0.35">
      <c r="A14" s="56" t="s">
        <v>271</v>
      </c>
      <c r="B14" s="64"/>
      <c r="C14" s="64"/>
      <c r="D14" s="64"/>
      <c r="E14" s="70"/>
      <c r="F14" s="245"/>
      <c r="G14" s="245"/>
      <c r="H14" s="245"/>
      <c r="I14" s="245"/>
      <c r="J14" s="68"/>
      <c r="K14" s="68"/>
      <c r="L14" s="184"/>
      <c r="M14" s="184"/>
      <c r="N14" s="184"/>
      <c r="O14" s="245"/>
      <c r="P14" s="186"/>
      <c r="Q14" s="102"/>
      <c r="R14" s="102"/>
      <c r="S14" s="472">
        <v>7.4</v>
      </c>
      <c r="T14" s="472">
        <v>7.2</v>
      </c>
      <c r="U14" s="472">
        <v>6.3</v>
      </c>
      <c r="V14" s="472">
        <v>4.5999999999999996</v>
      </c>
      <c r="W14" s="472">
        <v>7.5</v>
      </c>
      <c r="X14" s="234"/>
      <c r="Z14" s="234">
        <v>9</v>
      </c>
      <c r="AA14" s="474">
        <v>10</v>
      </c>
    </row>
    <row r="15" spans="1:27" x14ac:dyDescent="0.35">
      <c r="A15" s="56" t="s">
        <v>101</v>
      </c>
      <c r="B15" s="64"/>
      <c r="C15" s="64"/>
      <c r="D15" s="64"/>
      <c r="E15" s="70"/>
      <c r="F15" s="245"/>
      <c r="G15" s="245"/>
      <c r="H15" s="245"/>
      <c r="I15" s="245"/>
      <c r="J15" s="68"/>
      <c r="K15" s="68"/>
      <c r="L15" s="184"/>
      <c r="M15" s="184"/>
      <c r="N15" s="184"/>
      <c r="O15" s="245"/>
      <c r="P15" s="186"/>
      <c r="Q15" s="102"/>
      <c r="R15" s="102"/>
      <c r="S15" s="472">
        <v>4.8</v>
      </c>
      <c r="T15" s="472">
        <v>5.8</v>
      </c>
      <c r="U15" s="472">
        <v>5.9</v>
      </c>
      <c r="V15" s="472">
        <v>3.9</v>
      </c>
      <c r="W15" s="472">
        <v>7.2</v>
      </c>
      <c r="X15" s="234"/>
      <c r="Z15" s="234">
        <v>9</v>
      </c>
      <c r="AA15" s="474">
        <v>10</v>
      </c>
    </row>
    <row r="16" spans="1:27" x14ac:dyDescent="0.35">
      <c r="A16" s="56" t="s">
        <v>102</v>
      </c>
      <c r="B16" s="64"/>
      <c r="C16" s="64"/>
      <c r="D16" s="64"/>
      <c r="E16" s="70"/>
      <c r="F16" s="245"/>
      <c r="G16" s="245"/>
      <c r="H16" s="245"/>
      <c r="I16" s="245"/>
      <c r="J16" s="68"/>
      <c r="K16" s="68"/>
      <c r="L16" s="184"/>
      <c r="M16" s="184"/>
      <c r="N16" s="184"/>
      <c r="O16" s="245"/>
      <c r="P16" s="186"/>
      <c r="Q16" s="102"/>
      <c r="R16" s="102"/>
      <c r="S16" s="472">
        <v>12.6</v>
      </c>
      <c r="T16" s="472">
        <v>6.1</v>
      </c>
      <c r="U16" s="472">
        <v>5.8</v>
      </c>
      <c r="V16" s="472">
        <v>3.1</v>
      </c>
      <c r="W16" s="472">
        <v>4.3</v>
      </c>
      <c r="X16" s="234"/>
      <c r="Z16" s="234">
        <v>8</v>
      </c>
      <c r="AA16" s="474">
        <v>8</v>
      </c>
    </row>
    <row r="17" spans="1:27" x14ac:dyDescent="0.35">
      <c r="A17" s="56" t="s">
        <v>103</v>
      </c>
      <c r="B17" s="64"/>
      <c r="C17" s="64"/>
      <c r="D17" s="64"/>
      <c r="E17" s="70"/>
      <c r="F17" s="245"/>
      <c r="G17" s="245"/>
      <c r="H17" s="245"/>
      <c r="I17" s="245"/>
      <c r="J17" s="68"/>
      <c r="K17" s="68"/>
      <c r="L17" s="184"/>
      <c r="M17" s="184"/>
      <c r="N17" s="184"/>
      <c r="O17" s="245"/>
      <c r="P17" s="186"/>
      <c r="Q17" s="102"/>
      <c r="R17" s="102"/>
      <c r="S17" s="472">
        <v>2</v>
      </c>
      <c r="T17" s="472">
        <v>2.5</v>
      </c>
      <c r="U17" s="472">
        <v>2.4</v>
      </c>
      <c r="V17" s="472">
        <v>1.5</v>
      </c>
      <c r="W17" s="472">
        <v>1.9</v>
      </c>
      <c r="X17" s="234"/>
      <c r="Z17" s="234">
        <v>4</v>
      </c>
      <c r="AA17" s="474">
        <v>4</v>
      </c>
    </row>
    <row r="18" spans="1:27" ht="15" thickBot="1" x14ac:dyDescent="0.4">
      <c r="A18" s="57" t="s">
        <v>98</v>
      </c>
      <c r="B18" s="65">
        <f>SUM(B10:B13)</f>
        <v>187866230</v>
      </c>
      <c r="C18" s="65">
        <f t="shared" ref="C18:N18" si="13">SUM(C10:C13)</f>
        <v>208198352</v>
      </c>
      <c r="D18" s="65">
        <f t="shared" si="13"/>
        <v>242789503</v>
      </c>
      <c r="E18" s="71">
        <f t="shared" si="13"/>
        <v>228820276</v>
      </c>
      <c r="F18" s="185">
        <f t="shared" si="13"/>
        <v>235384718</v>
      </c>
      <c r="G18" s="185">
        <f t="shared" si="13"/>
        <v>254930018</v>
      </c>
      <c r="H18" s="185">
        <f t="shared" si="13"/>
        <v>215399721</v>
      </c>
      <c r="I18" s="247"/>
      <c r="J18" s="106" t="s">
        <v>272</v>
      </c>
      <c r="K18" s="101" t="s">
        <v>272</v>
      </c>
      <c r="L18" s="185">
        <f t="shared" si="13"/>
        <v>228014542.82880005</v>
      </c>
      <c r="M18" s="185">
        <f t="shared" si="13"/>
        <v>241376893.98398787</v>
      </c>
      <c r="N18" s="185">
        <f t="shared" si="13"/>
        <v>255531438.39423952</v>
      </c>
      <c r="O18" s="247"/>
      <c r="P18" s="185"/>
      <c r="Q18" s="101" t="s">
        <v>272</v>
      </c>
      <c r="R18" s="101" t="s">
        <v>272</v>
      </c>
      <c r="S18" s="473">
        <f t="shared" ref="S18:W18" si="14">S36</f>
        <v>0</v>
      </c>
      <c r="T18" s="473">
        <f t="shared" si="14"/>
        <v>0</v>
      </c>
      <c r="U18" s="473">
        <f t="shared" si="14"/>
        <v>0</v>
      </c>
      <c r="V18" s="473">
        <f t="shared" si="14"/>
        <v>0</v>
      </c>
      <c r="W18" s="473">
        <f t="shared" si="14"/>
        <v>0</v>
      </c>
    </row>
    <row r="19" spans="1:27" s="32" customFormat="1" ht="15" thickBot="1" x14ac:dyDescent="0.4">
      <c r="B19" s="38"/>
      <c r="C19" s="38"/>
      <c r="D19" s="38"/>
      <c r="E19" s="38"/>
      <c r="F19" s="38"/>
      <c r="G19" s="38"/>
      <c r="H19" s="38"/>
      <c r="I19" s="38"/>
      <c r="J19" s="38"/>
      <c r="K19" s="38"/>
      <c r="S19" s="32" t="s">
        <v>273</v>
      </c>
      <c r="X19" s="507" t="s">
        <v>273</v>
      </c>
    </row>
    <row r="20" spans="1:27" ht="58.5" thickBot="1" x14ac:dyDescent="0.4">
      <c r="A20" s="61" t="s">
        <v>128</v>
      </c>
      <c r="B20" s="100">
        <f>+B13</f>
        <v>15817809</v>
      </c>
      <c r="C20" s="100">
        <f>+C13</f>
        <v>17572089</v>
      </c>
      <c r="D20" s="100">
        <f>+D13</f>
        <v>22384998</v>
      </c>
      <c r="E20" s="156">
        <f>+E13</f>
        <v>19444328</v>
      </c>
      <c r="F20" s="188" t="s">
        <v>250</v>
      </c>
      <c r="G20" s="188" t="s">
        <v>251</v>
      </c>
      <c r="H20" s="188" t="s">
        <v>252</v>
      </c>
      <c r="I20" s="248" t="s">
        <v>262</v>
      </c>
      <c r="J20" s="54" t="s">
        <v>263</v>
      </c>
      <c r="K20" s="54" t="s">
        <v>264</v>
      </c>
      <c r="L20" s="189" t="s">
        <v>265</v>
      </c>
      <c r="M20" s="176" t="s">
        <v>266</v>
      </c>
      <c r="N20" s="176" t="s">
        <v>267</v>
      </c>
      <c r="O20" s="246" t="s">
        <v>268</v>
      </c>
      <c r="P20" s="160" t="s">
        <v>256</v>
      </c>
      <c r="Q20" s="54" t="s">
        <v>263</v>
      </c>
      <c r="R20" s="54" t="s">
        <v>264</v>
      </c>
      <c r="S20" s="160" t="s">
        <v>249</v>
      </c>
      <c r="T20" s="160" t="s">
        <v>251</v>
      </c>
      <c r="U20" s="160" t="s">
        <v>252</v>
      </c>
      <c r="V20" s="160" t="s">
        <v>259</v>
      </c>
      <c r="W20" s="160" t="s">
        <v>260</v>
      </c>
      <c r="X20" s="501" t="s">
        <v>255</v>
      </c>
      <c r="Y20" s="502" t="s">
        <v>258</v>
      </c>
      <c r="Z20" s="501" t="s">
        <v>269</v>
      </c>
      <c r="AA20" s="502" t="s">
        <v>270</v>
      </c>
    </row>
    <row r="21" spans="1:27" x14ac:dyDescent="0.35">
      <c r="A21" s="56" t="s">
        <v>73</v>
      </c>
      <c r="B21" s="64">
        <v>21571902</v>
      </c>
      <c r="C21" s="64">
        <v>23687262</v>
      </c>
      <c r="D21" s="64">
        <v>28241880</v>
      </c>
      <c r="E21" s="70">
        <v>33109648</v>
      </c>
      <c r="F21" s="245">
        <v>35482633</v>
      </c>
      <c r="G21" s="245">
        <v>35803743</v>
      </c>
      <c r="H21" s="245">
        <v>35803743</v>
      </c>
      <c r="I21" s="245">
        <v>1605549</v>
      </c>
      <c r="J21" s="68">
        <v>0.04</v>
      </c>
      <c r="K21" s="68">
        <v>0.02</v>
      </c>
      <c r="L21" s="184">
        <f>+H21*(100%+$J21)*(100%+$K21)</f>
        <v>37980610.5744</v>
      </c>
      <c r="M21" s="184">
        <f>+L21*(100%+$J21)*(100%+$K21)</f>
        <v>40289831.697323523</v>
      </c>
      <c r="N21" s="184">
        <f>+M21*(100%+$J21)*(100%+$K21)</f>
        <v>42739453.464520797</v>
      </c>
      <c r="O21" s="245">
        <f>+I21*(1+J21)^4</f>
        <v>1878265.2411494404</v>
      </c>
      <c r="P21" s="186">
        <f>+N21/O21</f>
        <v>22.754748652200778</v>
      </c>
      <c r="Q21" s="102">
        <f t="shared" ref="Q21:Q24" si="15">+J21</f>
        <v>0.04</v>
      </c>
      <c r="R21" s="102">
        <f t="shared" ref="R21:R24" si="16">+K21</f>
        <v>0.02</v>
      </c>
      <c r="S21" s="472">
        <v>21.7</v>
      </c>
      <c r="T21" s="472">
        <v>22.3</v>
      </c>
      <c r="U21" s="472">
        <v>22.3</v>
      </c>
      <c r="V21" s="472">
        <v>10.8</v>
      </c>
      <c r="W21" s="472">
        <v>11.4</v>
      </c>
      <c r="X21" s="503">
        <v>25</v>
      </c>
      <c r="Y21" s="504">
        <v>26</v>
      </c>
      <c r="Z21" s="503">
        <v>26</v>
      </c>
      <c r="AA21" s="504">
        <v>27</v>
      </c>
    </row>
    <row r="22" spans="1:27" x14ac:dyDescent="0.35">
      <c r="A22" s="56" t="s">
        <v>78</v>
      </c>
      <c r="B22" s="64">
        <v>85780062</v>
      </c>
      <c r="C22" s="64">
        <v>97978878</v>
      </c>
      <c r="D22" s="64">
        <v>118212828</v>
      </c>
      <c r="E22" s="70">
        <v>85211896</v>
      </c>
      <c r="F22" s="245">
        <v>81731307</v>
      </c>
      <c r="G22" s="245">
        <v>84589045</v>
      </c>
      <c r="H22" s="245">
        <v>74872736</v>
      </c>
      <c r="I22" s="245">
        <v>5715476</v>
      </c>
      <c r="J22" s="68">
        <v>0.04</v>
      </c>
      <c r="K22" s="68">
        <v>0.02</v>
      </c>
      <c r="L22" s="184">
        <f>+H22*(100%+$J22)*(100%+$K22)</f>
        <v>79424998.348800004</v>
      </c>
      <c r="M22" s="184">
        <f t="shared" ref="M22:M24" si="17">+L22*(100%+$J22)*(100%+$K22)</f>
        <v>84254038.248407051</v>
      </c>
      <c r="N22" s="184">
        <f t="shared" ref="N22:N24" si="18">+M22*(100%+$J22)*(100%+$K22)</f>
        <v>89376683.77391021</v>
      </c>
      <c r="O22" s="245">
        <f>+I22*(1+J22)^4</f>
        <v>6686298.5230745608</v>
      </c>
      <c r="P22" s="186">
        <f>+N22/O22</f>
        <v>13.367139302181819</v>
      </c>
      <c r="Q22" s="102">
        <f t="shared" si="15"/>
        <v>0.04</v>
      </c>
      <c r="R22" s="102">
        <f t="shared" si="16"/>
        <v>0.02</v>
      </c>
      <c r="S22" s="472">
        <v>13.8</v>
      </c>
      <c r="T22" s="472">
        <v>14.8</v>
      </c>
      <c r="U22" s="472">
        <v>13.1</v>
      </c>
      <c r="V22" s="472">
        <v>7.9</v>
      </c>
      <c r="W22" s="472">
        <v>11.5</v>
      </c>
      <c r="X22" s="503">
        <v>15</v>
      </c>
      <c r="Y22" s="504">
        <v>15</v>
      </c>
      <c r="Z22" s="503">
        <v>16</v>
      </c>
      <c r="AA22" s="504">
        <v>16</v>
      </c>
    </row>
    <row r="23" spans="1:27" x14ac:dyDescent="0.35">
      <c r="A23" s="56" t="s">
        <v>82</v>
      </c>
      <c r="B23" s="64">
        <v>64696457</v>
      </c>
      <c r="C23" s="64">
        <v>68960123</v>
      </c>
      <c r="D23" s="64">
        <v>73949797</v>
      </c>
      <c r="E23" s="70">
        <v>91054404</v>
      </c>
      <c r="F23" s="245">
        <v>97345466</v>
      </c>
      <c r="G23" s="245">
        <v>111331883</v>
      </c>
      <c r="H23" s="245">
        <v>81121222</v>
      </c>
      <c r="I23" s="245">
        <v>5594567</v>
      </c>
      <c r="J23" s="68">
        <v>0.04</v>
      </c>
      <c r="K23" s="68">
        <v>0.02</v>
      </c>
      <c r="L23" s="184">
        <f>+H23*(100%+$J23)*(100%+$K23)</f>
        <v>86053392.297600016</v>
      </c>
      <c r="M23" s="184">
        <f t="shared" si="17"/>
        <v>91285438.549294099</v>
      </c>
      <c r="N23" s="184">
        <f t="shared" si="18"/>
        <v>96835593.213091195</v>
      </c>
      <c r="O23" s="245">
        <f>+I23*(1+J23)^4</f>
        <v>6544852.0944435215</v>
      </c>
      <c r="P23" s="186">
        <f>+N23/O23</f>
        <v>14.795688552733395</v>
      </c>
      <c r="Q23" s="102">
        <f t="shared" si="15"/>
        <v>0.04</v>
      </c>
      <c r="R23" s="102">
        <f t="shared" si="16"/>
        <v>0.02</v>
      </c>
      <c r="S23" s="472">
        <v>16.8</v>
      </c>
      <c r="T23" s="472">
        <v>19.899999999999999</v>
      </c>
      <c r="U23" s="472">
        <v>14.5</v>
      </c>
      <c r="V23" s="472">
        <v>8.8000000000000007</v>
      </c>
      <c r="W23" s="472">
        <v>13.5</v>
      </c>
      <c r="X23" s="503">
        <v>16</v>
      </c>
      <c r="Y23" s="504">
        <v>16</v>
      </c>
      <c r="Z23" s="503">
        <v>17</v>
      </c>
      <c r="AA23" s="504">
        <v>17</v>
      </c>
    </row>
    <row r="24" spans="1:27" x14ac:dyDescent="0.35">
      <c r="A24" s="56" t="s">
        <v>233</v>
      </c>
      <c r="B24" s="64">
        <v>15817809</v>
      </c>
      <c r="C24" s="64">
        <v>17572089</v>
      </c>
      <c r="D24" s="64">
        <v>22384998</v>
      </c>
      <c r="E24" s="70">
        <v>19444328</v>
      </c>
      <c r="F24" s="245">
        <v>20825312</v>
      </c>
      <c r="G24" s="245">
        <v>23205347</v>
      </c>
      <c r="H24" s="245">
        <v>23602020</v>
      </c>
      <c r="I24" s="245">
        <v>1983363</v>
      </c>
      <c r="J24" s="68">
        <v>0.02</v>
      </c>
      <c r="K24" s="68">
        <v>0.02</v>
      </c>
      <c r="L24" s="184">
        <f>+H24*(100%+$J24)*(100%+$K24)</f>
        <v>24555541.608000003</v>
      </c>
      <c r="M24" s="184">
        <f t="shared" si="17"/>
        <v>25547585.488963202</v>
      </c>
      <c r="N24" s="184">
        <f t="shared" si="18"/>
        <v>26579707.942717317</v>
      </c>
      <c r="O24" s="245">
        <f>+I24*(1+J24)^4</f>
        <v>2146855.8961540801</v>
      </c>
      <c r="P24" s="186">
        <f>+N24/O24</f>
        <v>12.380760157369076</v>
      </c>
      <c r="Q24" s="102">
        <f t="shared" si="15"/>
        <v>0.02</v>
      </c>
      <c r="R24" s="102">
        <f t="shared" si="16"/>
        <v>0.02</v>
      </c>
      <c r="S24" s="472">
        <v>10.3</v>
      </c>
      <c r="T24" s="472">
        <v>11.7</v>
      </c>
      <c r="U24" s="472">
        <v>11.9</v>
      </c>
      <c r="V24" s="472">
        <v>6.2</v>
      </c>
      <c r="W24" s="472">
        <v>10.7</v>
      </c>
      <c r="X24" s="503">
        <v>15</v>
      </c>
      <c r="Y24" s="504">
        <v>15</v>
      </c>
      <c r="Z24" s="503">
        <v>15</v>
      </c>
      <c r="AA24" s="504">
        <v>16</v>
      </c>
    </row>
    <row r="25" spans="1:27" x14ac:dyDescent="0.35">
      <c r="A25" s="56" t="s">
        <v>271</v>
      </c>
      <c r="B25" s="64"/>
      <c r="C25" s="64"/>
      <c r="D25" s="64"/>
      <c r="E25" s="70"/>
      <c r="F25" s="245"/>
      <c r="G25" s="245"/>
      <c r="H25" s="245"/>
      <c r="I25" s="245"/>
      <c r="J25" s="68"/>
      <c r="K25" s="68"/>
      <c r="L25" s="184"/>
      <c r="M25" s="184"/>
      <c r="N25" s="184"/>
      <c r="O25" s="245"/>
      <c r="P25" s="186"/>
      <c r="Q25" s="102"/>
      <c r="R25" s="102"/>
      <c r="S25" s="472">
        <v>8.1999999999999993</v>
      </c>
      <c r="T25" s="472">
        <v>8.1999999999999993</v>
      </c>
      <c r="U25" s="472">
        <v>7</v>
      </c>
      <c r="V25" s="472">
        <v>5.0999999999999996</v>
      </c>
      <c r="W25" s="472">
        <v>8.4</v>
      </c>
      <c r="X25" s="505"/>
      <c r="Y25" s="505"/>
      <c r="Z25" s="503">
        <v>10</v>
      </c>
      <c r="AA25" s="506">
        <v>11</v>
      </c>
    </row>
    <row r="26" spans="1:27" x14ac:dyDescent="0.35">
      <c r="A26" s="56" t="s">
        <v>101</v>
      </c>
      <c r="B26" s="64"/>
      <c r="C26" s="64"/>
      <c r="D26" s="64"/>
      <c r="E26" s="70"/>
      <c r="F26" s="245"/>
      <c r="G26" s="245"/>
      <c r="H26" s="245"/>
      <c r="I26" s="245"/>
      <c r="J26" s="68"/>
      <c r="K26" s="68"/>
      <c r="L26" s="184"/>
      <c r="M26" s="184"/>
      <c r="N26" s="184"/>
      <c r="O26" s="245"/>
      <c r="P26" s="186"/>
      <c r="Q26" s="102"/>
      <c r="R26" s="102"/>
      <c r="S26" s="472">
        <v>5.0999999999999996</v>
      </c>
      <c r="T26" s="472">
        <v>6.5</v>
      </c>
      <c r="U26" s="472">
        <v>6.4</v>
      </c>
      <c r="V26" s="472">
        <v>4.4000000000000004</v>
      </c>
      <c r="W26" s="472">
        <v>8.1</v>
      </c>
      <c r="X26" s="505"/>
      <c r="Y26" s="505"/>
      <c r="Z26" s="503">
        <v>10</v>
      </c>
      <c r="AA26" s="506">
        <v>11</v>
      </c>
    </row>
    <row r="27" spans="1:27" x14ac:dyDescent="0.35">
      <c r="A27" s="56" t="s">
        <v>102</v>
      </c>
      <c r="B27" s="64"/>
      <c r="C27" s="64"/>
      <c r="D27" s="64"/>
      <c r="E27" s="70"/>
      <c r="F27" s="245"/>
      <c r="G27" s="245"/>
      <c r="H27" s="245"/>
      <c r="I27" s="245"/>
      <c r="J27" s="68"/>
      <c r="K27" s="68"/>
      <c r="L27" s="184"/>
      <c r="M27" s="184"/>
      <c r="N27" s="184"/>
      <c r="O27" s="245"/>
      <c r="P27" s="186"/>
      <c r="Q27" s="102"/>
      <c r="R27" s="102"/>
      <c r="S27" s="472">
        <v>13.6</v>
      </c>
      <c r="T27" s="472">
        <v>6.6</v>
      </c>
      <c r="U27" s="472">
        <v>6.2</v>
      </c>
      <c r="V27" s="472">
        <v>3.4</v>
      </c>
      <c r="W27" s="472">
        <v>4.8</v>
      </c>
      <c r="X27" s="505"/>
      <c r="Y27" s="505"/>
      <c r="Z27" s="503">
        <v>9</v>
      </c>
      <c r="AA27" s="506">
        <v>9</v>
      </c>
    </row>
    <row r="28" spans="1:27" x14ac:dyDescent="0.35">
      <c r="A28" s="56" t="s">
        <v>103</v>
      </c>
      <c r="B28" s="64"/>
      <c r="C28" s="64"/>
      <c r="D28" s="64"/>
      <c r="E28" s="70"/>
      <c r="F28" s="245"/>
      <c r="G28" s="245"/>
      <c r="H28" s="245"/>
      <c r="I28" s="245"/>
      <c r="J28" s="68"/>
      <c r="K28" s="68"/>
      <c r="L28" s="184"/>
      <c r="M28" s="184"/>
      <c r="N28" s="184"/>
      <c r="O28" s="245"/>
      <c r="P28" s="186"/>
      <c r="Q28" s="102"/>
      <c r="R28" s="102"/>
      <c r="S28" s="472">
        <v>2.1</v>
      </c>
      <c r="T28" s="472">
        <v>2.7</v>
      </c>
      <c r="U28" s="472">
        <v>2.6</v>
      </c>
      <c r="V28" s="472">
        <v>1.6</v>
      </c>
      <c r="W28" s="472">
        <v>2</v>
      </c>
      <c r="X28" s="505"/>
      <c r="Y28" s="505"/>
      <c r="Z28" s="503">
        <v>4</v>
      </c>
      <c r="AA28" s="506">
        <v>4</v>
      </c>
    </row>
    <row r="29" spans="1:27" ht="15" thickBot="1" x14ac:dyDescent="0.4">
      <c r="A29" s="57" t="s">
        <v>98</v>
      </c>
      <c r="B29" s="65">
        <f>SUM(B21:B24)</f>
        <v>187866230</v>
      </c>
      <c r="C29" s="65">
        <f t="shared" ref="C29:H29" si="19">SUM(C21:C24)</f>
        <v>208198352</v>
      </c>
      <c r="D29" s="65">
        <f t="shared" si="19"/>
        <v>242789503</v>
      </c>
      <c r="E29" s="71">
        <f t="shared" si="19"/>
        <v>228820276</v>
      </c>
      <c r="F29" s="185">
        <f t="shared" si="19"/>
        <v>235384718</v>
      </c>
      <c r="G29" s="185">
        <f t="shared" si="19"/>
        <v>254930018</v>
      </c>
      <c r="H29" s="185">
        <f t="shared" si="19"/>
        <v>215399721</v>
      </c>
      <c r="I29" s="247"/>
      <c r="J29" s="106" t="s">
        <v>272</v>
      </c>
      <c r="K29" s="101" t="s">
        <v>272</v>
      </c>
      <c r="L29" s="185">
        <f t="shared" ref="L29:N29" si="20">SUM(L21:L24)</f>
        <v>228014542.82880005</v>
      </c>
      <c r="M29" s="185">
        <f t="shared" si="20"/>
        <v>241376893.98398787</v>
      </c>
      <c r="N29" s="185">
        <f t="shared" si="20"/>
        <v>255531438.39423952</v>
      </c>
      <c r="O29" s="247"/>
      <c r="P29" s="185"/>
      <c r="Q29" s="101" t="s">
        <v>272</v>
      </c>
      <c r="R29" s="101" t="s">
        <v>272</v>
      </c>
      <c r="S29" s="473">
        <f t="shared" ref="S29:W29" si="21">S47</f>
        <v>0</v>
      </c>
      <c r="T29" s="473">
        <f t="shared" si="21"/>
        <v>0</v>
      </c>
      <c r="U29" s="473">
        <f t="shared" si="21"/>
        <v>0</v>
      </c>
      <c r="V29" s="473">
        <f t="shared" si="21"/>
        <v>0</v>
      </c>
      <c r="W29" s="473">
        <f t="shared" si="21"/>
        <v>0</v>
      </c>
    </row>
    <row r="30" spans="1:27" s="32" customFormat="1" x14ac:dyDescent="0.35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27" x14ac:dyDescent="0.35">
      <c r="J31" s="60"/>
    </row>
    <row r="32" spans="1:27" x14ac:dyDescent="0.35">
      <c r="A32" t="s">
        <v>274</v>
      </c>
      <c r="J32" s="60"/>
    </row>
    <row r="33" spans="1:10" x14ac:dyDescent="0.35">
      <c r="I33" t="s">
        <v>275</v>
      </c>
      <c r="J33" s="60"/>
    </row>
    <row r="34" spans="1:10" x14ac:dyDescent="0.35">
      <c r="A34" t="s">
        <v>276</v>
      </c>
      <c r="I34" t="s">
        <v>277</v>
      </c>
      <c r="J34" s="60"/>
    </row>
    <row r="35" spans="1:10" x14ac:dyDescent="0.35">
      <c r="A35" t="str">
        <f t="shared" ref="A35:A40" si="22">+A2</f>
        <v>Region</v>
      </c>
      <c r="B35" t="s">
        <v>278</v>
      </c>
      <c r="C35" s="190" t="s">
        <v>279</v>
      </c>
      <c r="D35" s="190" t="s">
        <v>280</v>
      </c>
      <c r="E35" s="190" t="s">
        <v>281</v>
      </c>
      <c r="I35" t="s">
        <v>282</v>
      </c>
    </row>
    <row r="36" spans="1:10" x14ac:dyDescent="0.35">
      <c r="A36" t="str">
        <f t="shared" si="22"/>
        <v xml:space="preserve">Austin  </v>
      </c>
      <c r="B36" s="155">
        <v>839</v>
      </c>
      <c r="C36" s="191">
        <v>855</v>
      </c>
      <c r="D36" s="191">
        <v>848</v>
      </c>
      <c r="E36" s="191">
        <v>825</v>
      </c>
    </row>
    <row r="37" spans="1:10" x14ac:dyDescent="0.35">
      <c r="A37" t="str">
        <f t="shared" si="22"/>
        <v xml:space="preserve">Dallas-Fort Worth  </v>
      </c>
      <c r="B37" s="155">
        <v>3478</v>
      </c>
      <c r="C37" s="191">
        <v>2400</v>
      </c>
      <c r="D37" s="191">
        <v>2420</v>
      </c>
      <c r="E37" s="191">
        <v>2269</v>
      </c>
    </row>
    <row r="38" spans="1:10" x14ac:dyDescent="0.35">
      <c r="A38" t="str">
        <f t="shared" si="22"/>
        <v xml:space="preserve">Houston-Galveston  </v>
      </c>
      <c r="B38" s="155">
        <v>2412</v>
      </c>
      <c r="C38" s="191">
        <v>1721</v>
      </c>
      <c r="D38" s="191">
        <v>1803</v>
      </c>
      <c r="E38" s="191">
        <v>1754</v>
      </c>
    </row>
    <row r="39" spans="1:10" x14ac:dyDescent="0.35">
      <c r="A39" t="str">
        <f t="shared" si="22"/>
        <v>San Antonio</v>
      </c>
      <c r="B39" s="155">
        <v>1049</v>
      </c>
      <c r="C39" s="191">
        <v>695</v>
      </c>
      <c r="D39" s="191">
        <v>691</v>
      </c>
      <c r="E39" s="191">
        <v>689</v>
      </c>
    </row>
    <row r="40" spans="1:10" x14ac:dyDescent="0.35">
      <c r="A40" t="str">
        <f t="shared" si="22"/>
        <v>MPO Total</v>
      </c>
      <c r="B40" s="155">
        <f>SUM(B36:B39)</f>
        <v>7778</v>
      </c>
      <c r="C40" s="192">
        <f>SUM(C36:C39)</f>
        <v>5671</v>
      </c>
      <c r="D40" s="192">
        <f>SUM(D36:D39)</f>
        <v>5762</v>
      </c>
      <c r="E40" s="192">
        <f>SUM(E36:E39)</f>
        <v>5537</v>
      </c>
    </row>
  </sheetData>
  <phoneticPr fontId="32" type="noConversion"/>
  <pageMargins left="0.7" right="0.7" top="0.75" bottom="0.75" header="0.3" footer="0.3"/>
  <pageSetup orientation="portrait" r:id="rId1"/>
  <ignoredErrors>
    <ignoredError sqref="B5:D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AC431-BAEC-4BFF-9655-AE60692C97B3}">
  <sheetPr>
    <tabColor rgb="FF00B0F0"/>
  </sheetPr>
  <dimension ref="A1:C163"/>
  <sheetViews>
    <sheetView workbookViewId="0">
      <selection activeCell="H14" sqref="H14"/>
    </sheetView>
  </sheetViews>
  <sheetFormatPr defaultColWidth="8.7265625" defaultRowHeight="14.65" customHeight="1" x14ac:dyDescent="0.35"/>
  <cols>
    <col min="1" max="1" width="44.54296875" customWidth="1"/>
    <col min="2" max="2" width="10" bestFit="1" customWidth="1"/>
  </cols>
  <sheetData>
    <row r="1" spans="1:3" ht="14.5" x14ac:dyDescent="0.35">
      <c r="A1" s="671" t="s">
        <v>283</v>
      </c>
      <c r="B1" s="671"/>
      <c r="C1" s="671"/>
    </row>
    <row r="2" spans="1:3" ht="24" x14ac:dyDescent="0.35">
      <c r="A2" s="195" t="s">
        <v>284</v>
      </c>
      <c r="B2" s="196" t="s">
        <v>285</v>
      </c>
      <c r="C2" s="196" t="s">
        <v>286</v>
      </c>
    </row>
    <row r="3" spans="1:3" ht="14.5" x14ac:dyDescent="0.35">
      <c r="A3" s="121" t="s">
        <v>287</v>
      </c>
      <c r="B3" s="573">
        <v>0.80800000000000005</v>
      </c>
      <c r="C3" s="123" t="s">
        <v>288</v>
      </c>
    </row>
    <row r="4" spans="1:3" ht="14.5" x14ac:dyDescent="0.35">
      <c r="A4" s="197" t="s">
        <v>289</v>
      </c>
      <c r="B4" s="574">
        <v>9.4E-2</v>
      </c>
      <c r="C4" s="199" t="s">
        <v>290</v>
      </c>
    </row>
    <row r="5" spans="1:3" ht="14.5" x14ac:dyDescent="0.35">
      <c r="A5" s="121" t="s">
        <v>291</v>
      </c>
      <c r="B5" s="573">
        <v>2.1999999999999999E-2</v>
      </c>
      <c r="C5" s="123" t="s">
        <v>292</v>
      </c>
    </row>
    <row r="6" spans="1:3" ht="14.5" x14ac:dyDescent="0.35">
      <c r="A6" s="197" t="s">
        <v>293</v>
      </c>
      <c r="B6" s="574">
        <v>1.2E-2</v>
      </c>
      <c r="C6" s="199" t="s">
        <v>292</v>
      </c>
    </row>
    <row r="7" spans="1:3" ht="14.5" x14ac:dyDescent="0.35">
      <c r="A7" s="121" t="s">
        <v>294</v>
      </c>
      <c r="B7" s="573">
        <v>2E-3</v>
      </c>
      <c r="C7" s="123" t="s">
        <v>295</v>
      </c>
    </row>
    <row r="8" spans="1:3" ht="14.5" x14ac:dyDescent="0.35">
      <c r="A8" s="197" t="s">
        <v>296</v>
      </c>
      <c r="B8" s="574">
        <v>1.4E-2</v>
      </c>
      <c r="C8" s="199" t="s">
        <v>292</v>
      </c>
    </row>
    <row r="9" spans="1:3" ht="14.5" x14ac:dyDescent="0.35">
      <c r="A9" s="121" t="s">
        <v>297</v>
      </c>
      <c r="B9" s="573">
        <v>4.8000000000000001E-2</v>
      </c>
      <c r="C9" s="123" t="s">
        <v>298</v>
      </c>
    </row>
    <row r="10" spans="1:3" ht="14.5" x14ac:dyDescent="0.35">
      <c r="A10" s="200" t="s">
        <v>299</v>
      </c>
      <c r="B10" s="575">
        <f>SUM(B4:B9)</f>
        <v>0.192</v>
      </c>
      <c r="C10" s="199" t="s">
        <v>300</v>
      </c>
    </row>
    <row r="12" spans="1:3" ht="14.5" x14ac:dyDescent="0.35">
      <c r="A12" s="200" t="s">
        <v>301</v>
      </c>
      <c r="B12" s="202">
        <v>2765577</v>
      </c>
      <c r="C12" s="199" t="s">
        <v>302</v>
      </c>
    </row>
    <row r="13" spans="1:3" ht="14.5" x14ac:dyDescent="0.35">
      <c r="A13" s="203" t="s">
        <v>303</v>
      </c>
      <c r="B13" s="204">
        <v>1.06</v>
      </c>
      <c r="C13" s="204" t="s">
        <v>304</v>
      </c>
    </row>
    <row r="14" spans="1:3" ht="14.5" x14ac:dyDescent="0.35">
      <c r="A14" s="200" t="s">
        <v>305</v>
      </c>
      <c r="B14" s="199">
        <v>30.5</v>
      </c>
      <c r="C14" s="199" t="s">
        <v>298</v>
      </c>
    </row>
    <row r="17" spans="1:3" ht="14.5" x14ac:dyDescent="0.35">
      <c r="A17" s="671" t="s">
        <v>306</v>
      </c>
      <c r="B17" s="671"/>
      <c r="C17" s="671"/>
    </row>
    <row r="18" spans="1:3" ht="24" x14ac:dyDescent="0.35">
      <c r="A18" s="195" t="s">
        <v>284</v>
      </c>
      <c r="B18" s="196" t="s">
        <v>285</v>
      </c>
      <c r="C18" s="196" t="s">
        <v>286</v>
      </c>
    </row>
    <row r="19" spans="1:3" ht="14.5" x14ac:dyDescent="0.35">
      <c r="A19" s="121" t="s">
        <v>287</v>
      </c>
      <c r="B19" s="573">
        <v>0.80900000000000005</v>
      </c>
      <c r="C19" s="123" t="s">
        <v>307</v>
      </c>
    </row>
    <row r="20" spans="1:3" ht="14.5" x14ac:dyDescent="0.35">
      <c r="A20" s="197" t="s">
        <v>289</v>
      </c>
      <c r="B20" s="574">
        <v>8.1000000000000003E-2</v>
      </c>
      <c r="C20" s="199" t="s">
        <v>308</v>
      </c>
    </row>
    <row r="21" spans="1:3" ht="14.5" x14ac:dyDescent="0.35">
      <c r="A21" s="121" t="s">
        <v>291</v>
      </c>
      <c r="B21" s="573">
        <v>1.2999999999999999E-2</v>
      </c>
      <c r="C21" s="123" t="s">
        <v>309</v>
      </c>
    </row>
    <row r="22" spans="1:3" ht="14.5" x14ac:dyDescent="0.35">
      <c r="A22" s="197" t="s">
        <v>293</v>
      </c>
      <c r="B22" s="574">
        <v>1.4999999999999999E-2</v>
      </c>
      <c r="C22" s="199" t="s">
        <v>310</v>
      </c>
    </row>
    <row r="23" spans="1:3" ht="14.5" x14ac:dyDescent="0.35">
      <c r="A23" s="121" t="s">
        <v>294</v>
      </c>
      <c r="B23" s="573">
        <v>3.0000000000000001E-3</v>
      </c>
      <c r="C23" s="123" t="s">
        <v>311</v>
      </c>
    </row>
    <row r="24" spans="1:3" ht="14.5" x14ac:dyDescent="0.35">
      <c r="A24" s="197" t="s">
        <v>296</v>
      </c>
      <c r="B24" s="574">
        <v>1.4999999999999999E-2</v>
      </c>
      <c r="C24" s="199" t="s">
        <v>312</v>
      </c>
    </row>
    <row r="25" spans="1:3" ht="14.5" x14ac:dyDescent="0.35">
      <c r="A25" s="121" t="s">
        <v>297</v>
      </c>
      <c r="B25" s="573">
        <v>6.5000000000000002E-2</v>
      </c>
      <c r="C25" s="123" t="s">
        <v>313</v>
      </c>
    </row>
    <row r="26" spans="1:3" ht="14.5" x14ac:dyDescent="0.35">
      <c r="A26" s="200" t="s">
        <v>299</v>
      </c>
      <c r="B26" s="575">
        <f>SUM(B20:B25)</f>
        <v>0.192</v>
      </c>
      <c r="C26" s="199" t="s">
        <v>300</v>
      </c>
    </row>
    <row r="28" spans="1:3" ht="14.5" x14ac:dyDescent="0.35">
      <c r="A28" s="200" t="s">
        <v>301</v>
      </c>
      <c r="B28" s="202">
        <v>142193</v>
      </c>
      <c r="C28" s="199" t="s">
        <v>314</v>
      </c>
    </row>
    <row r="29" spans="1:3" ht="14.5" x14ac:dyDescent="0.35">
      <c r="A29" s="203" t="s">
        <v>303</v>
      </c>
      <c r="B29" s="204">
        <v>1.05</v>
      </c>
      <c r="C29" s="204" t="s">
        <v>304</v>
      </c>
    </row>
    <row r="30" spans="1:3" ht="14.5" x14ac:dyDescent="0.35">
      <c r="A30" s="200" t="s">
        <v>305</v>
      </c>
      <c r="B30" s="576">
        <v>28</v>
      </c>
      <c r="C30" s="199" t="s">
        <v>313</v>
      </c>
    </row>
    <row r="33" spans="1:3" ht="14.5" x14ac:dyDescent="0.35">
      <c r="A33" s="671" t="s">
        <v>315</v>
      </c>
      <c r="B33" s="671"/>
      <c r="C33" s="671"/>
    </row>
    <row r="34" spans="1:3" ht="24" x14ac:dyDescent="0.35">
      <c r="A34" s="195" t="s">
        <v>284</v>
      </c>
      <c r="B34" s="196" t="s">
        <v>285</v>
      </c>
      <c r="C34" s="196" t="s">
        <v>286</v>
      </c>
    </row>
    <row r="35" spans="1:3" ht="14.5" x14ac:dyDescent="0.35">
      <c r="A35" s="121" t="s">
        <v>287</v>
      </c>
      <c r="B35" s="128" t="s">
        <v>316</v>
      </c>
      <c r="C35" s="123" t="s">
        <v>316</v>
      </c>
    </row>
    <row r="36" spans="1:3" ht="14.5" x14ac:dyDescent="0.35">
      <c r="A36" s="197" t="s">
        <v>289</v>
      </c>
      <c r="B36" s="198" t="s">
        <v>316</v>
      </c>
      <c r="C36" s="199" t="s">
        <v>316</v>
      </c>
    </row>
    <row r="37" spans="1:3" ht="14.5" x14ac:dyDescent="0.35">
      <c r="A37" s="121" t="s">
        <v>291</v>
      </c>
      <c r="B37" s="128" t="s">
        <v>316</v>
      </c>
      <c r="C37" s="123" t="s">
        <v>316</v>
      </c>
    </row>
    <row r="38" spans="1:3" ht="14.5" x14ac:dyDescent="0.35">
      <c r="A38" s="197" t="s">
        <v>293</v>
      </c>
      <c r="B38" s="198" t="s">
        <v>316</v>
      </c>
      <c r="C38" s="199" t="s">
        <v>316</v>
      </c>
    </row>
    <row r="39" spans="1:3" ht="14.5" x14ac:dyDescent="0.35">
      <c r="A39" s="121" t="s">
        <v>294</v>
      </c>
      <c r="B39" s="128" t="s">
        <v>316</v>
      </c>
      <c r="C39" s="123" t="s">
        <v>316</v>
      </c>
    </row>
    <row r="40" spans="1:3" ht="14.5" x14ac:dyDescent="0.35">
      <c r="A40" s="197" t="s">
        <v>296</v>
      </c>
      <c r="B40" s="198" t="s">
        <v>316</v>
      </c>
      <c r="C40" s="199" t="s">
        <v>316</v>
      </c>
    </row>
    <row r="41" spans="1:3" ht="14.5" x14ac:dyDescent="0.35">
      <c r="A41" s="121" t="s">
        <v>297</v>
      </c>
      <c r="B41" s="128" t="s">
        <v>316</v>
      </c>
      <c r="C41" s="123" t="s">
        <v>316</v>
      </c>
    </row>
    <row r="42" spans="1:3" ht="14.5" x14ac:dyDescent="0.35">
      <c r="A42" s="200" t="s">
        <v>299</v>
      </c>
      <c r="B42" s="201">
        <f>SUM(B36:B41)</f>
        <v>0</v>
      </c>
      <c r="C42" s="199" t="s">
        <v>300</v>
      </c>
    </row>
    <row r="44" spans="1:3" ht="14.5" x14ac:dyDescent="0.35">
      <c r="A44" s="200" t="s">
        <v>301</v>
      </c>
      <c r="B44" s="202" t="s">
        <v>316</v>
      </c>
      <c r="C44" s="199" t="s">
        <v>316</v>
      </c>
    </row>
    <row r="45" spans="1:3" ht="14.5" x14ac:dyDescent="0.35">
      <c r="A45" s="203" t="s">
        <v>303</v>
      </c>
      <c r="B45" s="204" t="s">
        <v>316</v>
      </c>
      <c r="C45" s="204" t="s">
        <v>316</v>
      </c>
    </row>
    <row r="46" spans="1:3" ht="14.5" x14ac:dyDescent="0.35">
      <c r="A46" s="200" t="s">
        <v>305</v>
      </c>
      <c r="B46" s="199">
        <v>21.6</v>
      </c>
      <c r="C46" s="199" t="s">
        <v>317</v>
      </c>
    </row>
    <row r="47" spans="1:3" ht="14.5" x14ac:dyDescent="0.35">
      <c r="A47" s="205" t="s">
        <v>318</v>
      </c>
      <c r="B47" s="206"/>
      <c r="C47" s="206"/>
    </row>
    <row r="50" spans="1:3" ht="14.5" x14ac:dyDescent="0.35">
      <c r="A50" s="671" t="s">
        <v>319</v>
      </c>
      <c r="B50" s="671"/>
      <c r="C50" s="671"/>
    </row>
    <row r="51" spans="1:3" ht="24" x14ac:dyDescent="0.35">
      <c r="A51" s="195" t="s">
        <v>284</v>
      </c>
      <c r="B51" s="196" t="s">
        <v>285</v>
      </c>
      <c r="C51" s="196" t="s">
        <v>286</v>
      </c>
    </row>
    <row r="52" spans="1:3" ht="14.5" x14ac:dyDescent="0.35">
      <c r="A52" s="121" t="s">
        <v>287</v>
      </c>
      <c r="B52" s="128" t="s">
        <v>316</v>
      </c>
      <c r="C52" s="123" t="s">
        <v>316</v>
      </c>
    </row>
    <row r="53" spans="1:3" ht="14.5" x14ac:dyDescent="0.35">
      <c r="A53" s="197" t="s">
        <v>289</v>
      </c>
      <c r="B53" s="198" t="s">
        <v>316</v>
      </c>
      <c r="C53" s="199" t="s">
        <v>316</v>
      </c>
    </row>
    <row r="54" spans="1:3" ht="14.5" x14ac:dyDescent="0.35">
      <c r="A54" s="121" t="s">
        <v>291</v>
      </c>
      <c r="B54" s="128" t="s">
        <v>316</v>
      </c>
      <c r="C54" s="123" t="s">
        <v>316</v>
      </c>
    </row>
    <row r="55" spans="1:3" ht="14.5" x14ac:dyDescent="0.35">
      <c r="A55" s="197" t="s">
        <v>293</v>
      </c>
      <c r="B55" s="198" t="s">
        <v>316</v>
      </c>
      <c r="C55" s="199" t="s">
        <v>316</v>
      </c>
    </row>
    <row r="56" spans="1:3" ht="14.5" x14ac:dyDescent="0.35">
      <c r="A56" s="121" t="s">
        <v>294</v>
      </c>
      <c r="B56" s="128" t="s">
        <v>316</v>
      </c>
      <c r="C56" s="123" t="s">
        <v>316</v>
      </c>
    </row>
    <row r="57" spans="1:3" ht="14.5" x14ac:dyDescent="0.35">
      <c r="A57" s="197" t="s">
        <v>296</v>
      </c>
      <c r="B57" s="198" t="s">
        <v>316</v>
      </c>
      <c r="C57" s="199" t="s">
        <v>316</v>
      </c>
    </row>
    <row r="58" spans="1:3" ht="14.5" x14ac:dyDescent="0.35">
      <c r="A58" s="121" t="s">
        <v>297</v>
      </c>
      <c r="B58" s="128" t="s">
        <v>316</v>
      </c>
      <c r="C58" s="123" t="s">
        <v>316</v>
      </c>
    </row>
    <row r="59" spans="1:3" ht="14.5" x14ac:dyDescent="0.35">
      <c r="A59" s="200" t="s">
        <v>299</v>
      </c>
      <c r="B59" s="201" t="s">
        <v>316</v>
      </c>
      <c r="C59" s="199" t="s">
        <v>300</v>
      </c>
    </row>
    <row r="61" spans="1:3" ht="14.5" x14ac:dyDescent="0.35">
      <c r="A61" s="200" t="s">
        <v>301</v>
      </c>
      <c r="B61" s="198" t="s">
        <v>316</v>
      </c>
      <c r="C61" s="199" t="s">
        <v>316</v>
      </c>
    </row>
    <row r="62" spans="1:3" ht="14.5" x14ac:dyDescent="0.35">
      <c r="A62" s="203" t="s">
        <v>303</v>
      </c>
      <c r="B62" s="204" t="s">
        <v>316</v>
      </c>
      <c r="C62" s="204" t="s">
        <v>316</v>
      </c>
    </row>
    <row r="63" spans="1:3" ht="14.5" x14ac:dyDescent="0.35">
      <c r="A63" s="200" t="s">
        <v>305</v>
      </c>
      <c r="B63" s="199">
        <v>23.9</v>
      </c>
      <c r="C63" s="199" t="s">
        <v>320</v>
      </c>
    </row>
    <row r="64" spans="1:3" ht="14.5" x14ac:dyDescent="0.35">
      <c r="A64" s="205" t="s">
        <v>318</v>
      </c>
      <c r="B64" s="206"/>
      <c r="C64" s="206"/>
    </row>
    <row r="67" spans="1:3" ht="14.5" x14ac:dyDescent="0.35">
      <c r="A67" s="671" t="s">
        <v>321</v>
      </c>
      <c r="B67" s="671"/>
      <c r="C67" s="671"/>
    </row>
    <row r="68" spans="1:3" ht="24" x14ac:dyDescent="0.35">
      <c r="A68" s="195" t="s">
        <v>284</v>
      </c>
      <c r="B68" s="196" t="s">
        <v>285</v>
      </c>
      <c r="C68" s="196" t="s">
        <v>286</v>
      </c>
    </row>
    <row r="69" spans="1:3" ht="14.5" x14ac:dyDescent="0.35">
      <c r="A69" s="121" t="s">
        <v>287</v>
      </c>
      <c r="B69" s="573">
        <v>0.80400000000000005</v>
      </c>
      <c r="C69" s="123" t="s">
        <v>290</v>
      </c>
    </row>
    <row r="70" spans="1:3" ht="14.5" x14ac:dyDescent="0.35">
      <c r="A70" s="197" t="s">
        <v>289</v>
      </c>
      <c r="B70" s="574">
        <v>9.5000000000000001E-2</v>
      </c>
      <c r="C70" s="199" t="s">
        <v>311</v>
      </c>
    </row>
    <row r="71" spans="1:3" ht="14.5" x14ac:dyDescent="0.35">
      <c r="A71" s="121" t="s">
        <v>291</v>
      </c>
      <c r="B71" s="573">
        <v>1.4999999999999999E-2</v>
      </c>
      <c r="C71" s="123" t="s">
        <v>292</v>
      </c>
    </row>
    <row r="72" spans="1:3" ht="14.5" x14ac:dyDescent="0.35">
      <c r="A72" s="197" t="s">
        <v>293</v>
      </c>
      <c r="B72" s="574">
        <v>1.2999999999999999E-2</v>
      </c>
      <c r="C72" s="199" t="s">
        <v>295</v>
      </c>
    </row>
    <row r="73" spans="1:3" ht="14.5" x14ac:dyDescent="0.35">
      <c r="A73" s="121" t="s">
        <v>294</v>
      </c>
      <c r="B73" s="573">
        <v>2E-3</v>
      </c>
      <c r="C73" s="123" t="s">
        <v>295</v>
      </c>
    </row>
    <row r="74" spans="1:3" ht="14.5" x14ac:dyDescent="0.35">
      <c r="A74" s="197" t="s">
        <v>296</v>
      </c>
      <c r="B74" s="574">
        <v>1.0999999999999999E-2</v>
      </c>
      <c r="C74" s="199" t="s">
        <v>295</v>
      </c>
    </row>
    <row r="75" spans="1:3" ht="14.5" x14ac:dyDescent="0.35">
      <c r="A75" s="121" t="s">
        <v>297</v>
      </c>
      <c r="B75" s="573">
        <v>6.0999999999999999E-2</v>
      </c>
      <c r="C75" s="123" t="s">
        <v>298</v>
      </c>
    </row>
    <row r="76" spans="1:3" ht="14.5" x14ac:dyDescent="0.35">
      <c r="A76" s="200" t="s">
        <v>299</v>
      </c>
      <c r="B76" s="575">
        <f>SUM(B70:B75)</f>
        <v>0.19700000000000001</v>
      </c>
      <c r="C76" s="199" t="s">
        <v>300</v>
      </c>
    </row>
    <row r="78" spans="1:3" ht="14.5" x14ac:dyDescent="0.35">
      <c r="A78" s="200" t="s">
        <v>301</v>
      </c>
      <c r="B78" s="202">
        <v>2974235</v>
      </c>
      <c r="C78" s="199" t="s">
        <v>322</v>
      </c>
    </row>
    <row r="79" spans="1:3" ht="14.5" x14ac:dyDescent="0.35">
      <c r="A79" s="203" t="s">
        <v>303</v>
      </c>
      <c r="B79" s="204">
        <v>1.06</v>
      </c>
      <c r="C79" s="204" t="s">
        <v>304</v>
      </c>
    </row>
    <row r="80" spans="1:3" ht="14.5" x14ac:dyDescent="0.35">
      <c r="A80" s="200" t="s">
        <v>305</v>
      </c>
      <c r="B80" s="576">
        <v>28</v>
      </c>
      <c r="C80" s="199" t="s">
        <v>298</v>
      </c>
    </row>
    <row r="83" spans="1:3" ht="14.5" x14ac:dyDescent="0.35">
      <c r="A83" s="671" t="s">
        <v>323</v>
      </c>
      <c r="B83" s="671"/>
      <c r="C83" s="671"/>
    </row>
    <row r="84" spans="1:3" ht="24" x14ac:dyDescent="0.35">
      <c r="A84" s="195" t="s">
        <v>284</v>
      </c>
      <c r="B84" s="196" t="s">
        <v>285</v>
      </c>
      <c r="C84" s="196" t="s">
        <v>286</v>
      </c>
    </row>
    <row r="85" spans="1:3" ht="14.5" x14ac:dyDescent="0.35">
      <c r="A85" s="121" t="s">
        <v>287</v>
      </c>
      <c r="B85" s="573">
        <v>0.77800000000000002</v>
      </c>
      <c r="C85" s="123" t="s">
        <v>324</v>
      </c>
    </row>
    <row r="86" spans="1:3" ht="14.5" x14ac:dyDescent="0.35">
      <c r="A86" s="197" t="s">
        <v>289</v>
      </c>
      <c r="B86" s="574">
        <v>0.11</v>
      </c>
      <c r="C86" s="199" t="s">
        <v>325</v>
      </c>
    </row>
    <row r="87" spans="1:3" ht="14.5" x14ac:dyDescent="0.35">
      <c r="A87" s="121" t="s">
        <v>291</v>
      </c>
      <c r="B87" s="573">
        <v>8.0000000000000002E-3</v>
      </c>
      <c r="C87" s="123" t="s">
        <v>298</v>
      </c>
    </row>
    <row r="88" spans="1:3" ht="14.5" x14ac:dyDescent="0.35">
      <c r="A88" s="197" t="s">
        <v>293</v>
      </c>
      <c r="B88" s="574">
        <v>1.0999999999999999E-2</v>
      </c>
      <c r="C88" s="199" t="s">
        <v>311</v>
      </c>
    </row>
    <row r="89" spans="1:3" ht="14.5" x14ac:dyDescent="0.35">
      <c r="A89" s="121" t="s">
        <v>294</v>
      </c>
      <c r="B89" s="573">
        <v>3.0000000000000001E-3</v>
      </c>
      <c r="C89" s="123" t="s">
        <v>292</v>
      </c>
    </row>
    <row r="90" spans="1:3" ht="14.5" x14ac:dyDescent="0.35">
      <c r="A90" s="197" t="s">
        <v>296</v>
      </c>
      <c r="B90" s="574">
        <v>8.0000000000000002E-3</v>
      </c>
      <c r="C90" s="199" t="s">
        <v>298</v>
      </c>
    </row>
    <row r="91" spans="1:3" ht="14.5" x14ac:dyDescent="0.35">
      <c r="A91" s="121" t="s">
        <v>297</v>
      </c>
      <c r="B91" s="573">
        <v>8.2000000000000003E-2</v>
      </c>
      <c r="C91" s="123" t="s">
        <v>326</v>
      </c>
    </row>
    <row r="92" spans="1:3" ht="14.5" x14ac:dyDescent="0.35">
      <c r="A92" s="200" t="s">
        <v>299</v>
      </c>
      <c r="B92" s="575">
        <f>SUM(B86:B91)</f>
        <v>0.22200000000000003</v>
      </c>
      <c r="C92" s="199" t="s">
        <v>300</v>
      </c>
    </row>
    <row r="94" spans="1:3" ht="14.5" x14ac:dyDescent="0.35">
      <c r="A94" s="200" t="s">
        <v>301</v>
      </c>
      <c r="B94" s="202">
        <v>234558</v>
      </c>
      <c r="C94" s="199" t="s">
        <v>327</v>
      </c>
    </row>
    <row r="95" spans="1:3" ht="14.5" x14ac:dyDescent="0.35">
      <c r="A95" s="203" t="s">
        <v>303</v>
      </c>
      <c r="B95" s="204">
        <v>1.07</v>
      </c>
      <c r="C95" s="204" t="s">
        <v>328</v>
      </c>
    </row>
    <row r="96" spans="1:3" ht="14.5" x14ac:dyDescent="0.35">
      <c r="A96" s="200" t="s">
        <v>305</v>
      </c>
      <c r="B96" s="199">
        <v>26.5</v>
      </c>
      <c r="C96" s="199" t="s">
        <v>317</v>
      </c>
    </row>
    <row r="99" spans="1:3" ht="14.5" x14ac:dyDescent="0.35">
      <c r="A99" s="671" t="s">
        <v>329</v>
      </c>
      <c r="B99" s="671"/>
      <c r="C99" s="671"/>
    </row>
    <row r="100" spans="1:3" ht="24" x14ac:dyDescent="0.35">
      <c r="A100" s="195" t="s">
        <v>284</v>
      </c>
      <c r="B100" s="196" t="s">
        <v>285</v>
      </c>
      <c r="C100" s="196" t="s">
        <v>286</v>
      </c>
    </row>
    <row r="101" spans="1:3" ht="14.5" x14ac:dyDescent="0.35">
      <c r="A101" s="121" t="s">
        <v>287</v>
      </c>
      <c r="B101" s="573">
        <v>0.73499999999999999</v>
      </c>
      <c r="C101" s="123" t="s">
        <v>310</v>
      </c>
    </row>
    <row r="102" spans="1:3" ht="14.5" x14ac:dyDescent="0.35">
      <c r="A102" s="197" t="s">
        <v>289</v>
      </c>
      <c r="B102" s="573">
        <v>9.2999999999999999E-2</v>
      </c>
      <c r="C102" s="199" t="s">
        <v>330</v>
      </c>
    </row>
    <row r="103" spans="1:3" ht="14.5" x14ac:dyDescent="0.35">
      <c r="A103" s="121" t="s">
        <v>291</v>
      </c>
      <c r="B103" s="573">
        <v>2.3E-2</v>
      </c>
      <c r="C103" s="123" t="s">
        <v>311</v>
      </c>
    </row>
    <row r="104" spans="1:3" ht="14.5" x14ac:dyDescent="0.35">
      <c r="A104" s="197" t="s">
        <v>293</v>
      </c>
      <c r="B104" s="573">
        <v>2.1999999999999999E-2</v>
      </c>
      <c r="C104" s="199" t="s">
        <v>311</v>
      </c>
    </row>
    <row r="105" spans="1:3" ht="14.5" x14ac:dyDescent="0.35">
      <c r="A105" s="121" t="s">
        <v>294</v>
      </c>
      <c r="B105" s="573">
        <v>8.0000000000000002E-3</v>
      </c>
      <c r="C105" s="123" t="s">
        <v>292</v>
      </c>
    </row>
    <row r="106" spans="1:3" ht="14.5" x14ac:dyDescent="0.35">
      <c r="A106" s="197" t="s">
        <v>296</v>
      </c>
      <c r="B106" s="573">
        <v>1.4E-2</v>
      </c>
      <c r="C106" s="199" t="s">
        <v>298</v>
      </c>
    </row>
    <row r="107" spans="1:3" ht="14.5" x14ac:dyDescent="0.35">
      <c r="A107" s="121" t="s">
        <v>297</v>
      </c>
      <c r="B107" s="573">
        <v>0.107</v>
      </c>
      <c r="C107" s="123" t="s">
        <v>288</v>
      </c>
    </row>
    <row r="108" spans="1:3" ht="14.5" x14ac:dyDescent="0.35">
      <c r="A108" s="200" t="s">
        <v>299</v>
      </c>
      <c r="B108" s="575">
        <f>SUM(B102:B107)</f>
        <v>0.26700000000000002</v>
      </c>
      <c r="C108" s="199" t="s">
        <v>300</v>
      </c>
    </row>
    <row r="110" spans="1:3" ht="14.5" x14ac:dyDescent="0.35">
      <c r="A110" s="200" t="s">
        <v>301</v>
      </c>
      <c r="B110" s="202">
        <v>934078</v>
      </c>
      <c r="C110" s="199" t="s">
        <v>331</v>
      </c>
    </row>
    <row r="111" spans="1:3" ht="14.5" x14ac:dyDescent="0.35">
      <c r="A111" s="203" t="s">
        <v>303</v>
      </c>
      <c r="B111" s="204">
        <v>1.07</v>
      </c>
      <c r="C111" s="204" t="s">
        <v>304</v>
      </c>
    </row>
    <row r="112" spans="1:3" ht="14.5" x14ac:dyDescent="0.35">
      <c r="A112" s="200" t="s">
        <v>305</v>
      </c>
      <c r="B112" s="199">
        <v>26.8</v>
      </c>
      <c r="C112" s="199" t="s">
        <v>290</v>
      </c>
    </row>
    <row r="116" spans="1:3" ht="14.5" x14ac:dyDescent="0.35">
      <c r="A116" s="671" t="s">
        <v>332</v>
      </c>
      <c r="B116" s="671"/>
      <c r="C116" s="671"/>
    </row>
    <row r="117" spans="1:3" ht="24" x14ac:dyDescent="0.35">
      <c r="A117" s="195" t="s">
        <v>284</v>
      </c>
      <c r="B117" s="196" t="s">
        <v>285</v>
      </c>
      <c r="C117" s="196" t="s">
        <v>286</v>
      </c>
    </row>
    <row r="118" spans="1:3" ht="14.5" x14ac:dyDescent="0.35">
      <c r="A118" s="121" t="s">
        <v>287</v>
      </c>
      <c r="B118" s="573">
        <v>0.78</v>
      </c>
      <c r="C118" s="123" t="s">
        <v>326</v>
      </c>
    </row>
    <row r="119" spans="1:3" ht="14.5" x14ac:dyDescent="0.35">
      <c r="A119" s="197" t="s">
        <v>289</v>
      </c>
      <c r="B119" s="574">
        <v>0.115</v>
      </c>
      <c r="C119" s="199" t="s">
        <v>330</v>
      </c>
    </row>
    <row r="120" spans="1:3" ht="14.5" x14ac:dyDescent="0.35">
      <c r="A120" s="121" t="s">
        <v>291</v>
      </c>
      <c r="B120" s="573">
        <v>2.4E-2</v>
      </c>
      <c r="C120" s="123" t="s">
        <v>298</v>
      </c>
    </row>
    <row r="121" spans="1:3" ht="14.5" x14ac:dyDescent="0.35">
      <c r="A121" s="197" t="s">
        <v>293</v>
      </c>
      <c r="B121" s="574">
        <v>2.1999999999999999E-2</v>
      </c>
      <c r="C121" s="199" t="s">
        <v>298</v>
      </c>
    </row>
    <row r="122" spans="1:3" ht="14.5" x14ac:dyDescent="0.35">
      <c r="A122" s="121" t="s">
        <v>294</v>
      </c>
      <c r="B122" s="573">
        <v>2E-3</v>
      </c>
      <c r="C122" s="123" t="s">
        <v>295</v>
      </c>
    </row>
    <row r="123" spans="1:3" ht="14.5" x14ac:dyDescent="0.35">
      <c r="A123" s="197" t="s">
        <v>296</v>
      </c>
      <c r="B123" s="574">
        <v>1.6E-2</v>
      </c>
      <c r="C123" s="199" t="s">
        <v>298</v>
      </c>
    </row>
    <row r="124" spans="1:3" ht="14.5" x14ac:dyDescent="0.35">
      <c r="A124" s="121" t="s">
        <v>297</v>
      </c>
      <c r="B124" s="573">
        <v>4.2999999999999997E-2</v>
      </c>
      <c r="C124" s="123" t="s">
        <v>311</v>
      </c>
    </row>
    <row r="125" spans="1:3" ht="14.5" x14ac:dyDescent="0.35">
      <c r="A125" s="200" t="s">
        <v>299</v>
      </c>
      <c r="B125" s="575">
        <f>SUM(B119:B124)</f>
        <v>0.22199999999999998</v>
      </c>
      <c r="C125" s="199" t="s">
        <v>300</v>
      </c>
    </row>
    <row r="127" spans="1:3" ht="14.5" x14ac:dyDescent="0.35">
      <c r="A127" s="200" t="s">
        <v>301</v>
      </c>
      <c r="B127" s="202">
        <v>982476</v>
      </c>
      <c r="C127" s="199" t="s">
        <v>333</v>
      </c>
    </row>
    <row r="128" spans="1:3" ht="14.5" x14ac:dyDescent="0.35">
      <c r="A128" s="203" t="s">
        <v>303</v>
      </c>
      <c r="B128" s="204">
        <v>1.08</v>
      </c>
      <c r="C128" s="204" t="s">
        <v>304</v>
      </c>
    </row>
    <row r="129" spans="1:3" ht="14.5" x14ac:dyDescent="0.35">
      <c r="A129" s="200" t="s">
        <v>305</v>
      </c>
      <c r="B129" s="199">
        <v>26.2</v>
      </c>
      <c r="C129" s="199" t="s">
        <v>290</v>
      </c>
    </row>
    <row r="132" spans="1:3" ht="14.5" x14ac:dyDescent="0.35">
      <c r="A132" s="671" t="s">
        <v>334</v>
      </c>
      <c r="B132" s="671"/>
      <c r="C132" s="671"/>
    </row>
    <row r="133" spans="1:3" ht="24" x14ac:dyDescent="0.35">
      <c r="A133" s="195" t="s">
        <v>284</v>
      </c>
      <c r="B133" s="196" t="s">
        <v>285</v>
      </c>
      <c r="C133" s="196" t="s">
        <v>286</v>
      </c>
    </row>
    <row r="134" spans="1:3" ht="14.5" x14ac:dyDescent="0.35">
      <c r="A134" s="121" t="s">
        <v>287</v>
      </c>
      <c r="B134" s="573">
        <v>0.81</v>
      </c>
      <c r="C134" s="123" t="s">
        <v>335</v>
      </c>
    </row>
    <row r="135" spans="1:3" ht="14.5" x14ac:dyDescent="0.35">
      <c r="A135" s="197" t="s">
        <v>289</v>
      </c>
      <c r="B135" s="574">
        <v>0.10199999999999999</v>
      </c>
      <c r="C135" s="199" t="s">
        <v>317</v>
      </c>
    </row>
    <row r="136" spans="1:3" ht="14.5" x14ac:dyDescent="0.35">
      <c r="A136" s="121" t="s">
        <v>291</v>
      </c>
      <c r="B136" s="573">
        <v>1.0999999999999999E-2</v>
      </c>
      <c r="C136" s="123" t="s">
        <v>311</v>
      </c>
    </row>
    <row r="137" spans="1:3" ht="14.5" x14ac:dyDescent="0.35">
      <c r="A137" s="197" t="s">
        <v>293</v>
      </c>
      <c r="B137" s="574">
        <v>1.2E-2</v>
      </c>
      <c r="C137" s="199" t="s">
        <v>311</v>
      </c>
    </row>
    <row r="138" spans="1:3" ht="14.5" x14ac:dyDescent="0.35">
      <c r="A138" s="121" t="s">
        <v>294</v>
      </c>
      <c r="B138" s="573">
        <v>1E-3</v>
      </c>
      <c r="C138" s="123" t="s">
        <v>295</v>
      </c>
    </row>
    <row r="139" spans="1:3" ht="14.5" x14ac:dyDescent="0.35">
      <c r="A139" s="197" t="s">
        <v>296</v>
      </c>
      <c r="B139" s="574">
        <v>3.5999999999999997E-2</v>
      </c>
      <c r="C139" s="199" t="s">
        <v>330</v>
      </c>
    </row>
    <row r="140" spans="1:3" ht="14.5" x14ac:dyDescent="0.35">
      <c r="A140" s="121" t="s">
        <v>297</v>
      </c>
      <c r="B140" s="573">
        <v>2.8000000000000001E-2</v>
      </c>
      <c r="C140" s="123" t="s">
        <v>290</v>
      </c>
    </row>
    <row r="141" spans="1:3" ht="14.5" x14ac:dyDescent="0.35">
      <c r="A141" s="200" t="s">
        <v>299</v>
      </c>
      <c r="B141" s="575">
        <f>SUM(B135:B140)</f>
        <v>0.18999999999999997</v>
      </c>
      <c r="C141" s="199" t="s">
        <v>300</v>
      </c>
    </row>
    <row r="143" spans="1:3" ht="14.5" x14ac:dyDescent="0.35">
      <c r="A143" s="200" t="s">
        <v>301</v>
      </c>
      <c r="B143" s="577">
        <v>349160</v>
      </c>
      <c r="C143" s="199" t="s">
        <v>336</v>
      </c>
    </row>
    <row r="144" spans="1:3" ht="14.5" x14ac:dyDescent="0.35">
      <c r="A144" s="203" t="s">
        <v>303</v>
      </c>
      <c r="B144" s="204">
        <v>1.07</v>
      </c>
      <c r="C144" s="204" t="s">
        <v>304</v>
      </c>
    </row>
    <row r="145" spans="1:3" ht="14.5" x14ac:dyDescent="0.35">
      <c r="A145" s="200" t="s">
        <v>305</v>
      </c>
      <c r="B145" s="199">
        <v>23.9</v>
      </c>
      <c r="C145" s="199" t="s">
        <v>317</v>
      </c>
    </row>
    <row r="148" spans="1:3" ht="14.5" x14ac:dyDescent="0.35">
      <c r="A148" s="671" t="s">
        <v>337</v>
      </c>
      <c r="B148" s="671"/>
      <c r="C148" s="671"/>
    </row>
    <row r="149" spans="1:3" ht="24" x14ac:dyDescent="0.35">
      <c r="A149" s="195" t="s">
        <v>284</v>
      </c>
      <c r="B149" s="196" t="s">
        <v>285</v>
      </c>
      <c r="C149" s="196" t="s">
        <v>286</v>
      </c>
    </row>
    <row r="150" spans="1:3" ht="14.5" x14ac:dyDescent="0.35">
      <c r="A150" s="121" t="s">
        <v>287</v>
      </c>
      <c r="B150" s="573">
        <v>0.78800000000000003</v>
      </c>
      <c r="C150" s="123" t="s">
        <v>335</v>
      </c>
    </row>
    <row r="151" spans="1:3" ht="14.5" x14ac:dyDescent="0.35">
      <c r="A151" s="197" t="s">
        <v>289</v>
      </c>
      <c r="B151" s="574">
        <v>8.7999999999999995E-2</v>
      </c>
      <c r="C151" s="199" t="s">
        <v>317</v>
      </c>
    </row>
    <row r="152" spans="1:3" ht="14.5" x14ac:dyDescent="0.35">
      <c r="A152" s="121" t="s">
        <v>291</v>
      </c>
      <c r="B152" s="573">
        <v>6.0000000000000001E-3</v>
      </c>
      <c r="C152" s="123" t="s">
        <v>311</v>
      </c>
    </row>
    <row r="153" spans="1:3" ht="14.5" x14ac:dyDescent="0.35">
      <c r="A153" s="197" t="s">
        <v>293</v>
      </c>
      <c r="B153" s="574">
        <v>8.9999999999999993E-3</v>
      </c>
      <c r="C153" s="199" t="s">
        <v>298</v>
      </c>
    </row>
    <row r="154" spans="1:3" ht="14.5" x14ac:dyDescent="0.35">
      <c r="A154" s="121" t="s">
        <v>294</v>
      </c>
      <c r="B154" s="573">
        <v>2E-3</v>
      </c>
      <c r="C154" s="123" t="s">
        <v>295</v>
      </c>
    </row>
    <row r="155" spans="1:3" ht="14.5" x14ac:dyDescent="0.35">
      <c r="A155" s="197" t="s">
        <v>296</v>
      </c>
      <c r="B155" s="574">
        <v>4.5999999999999999E-2</v>
      </c>
      <c r="C155" s="199" t="s">
        <v>310</v>
      </c>
    </row>
    <row r="156" spans="1:3" ht="14.5" x14ac:dyDescent="0.35">
      <c r="A156" s="121" t="s">
        <v>297</v>
      </c>
      <c r="B156" s="573">
        <v>0.06</v>
      </c>
      <c r="C156" s="123" t="s">
        <v>312</v>
      </c>
    </row>
    <row r="157" spans="1:3" ht="14.5" x14ac:dyDescent="0.35">
      <c r="A157" s="200" t="s">
        <v>299</v>
      </c>
      <c r="B157" s="575">
        <f>SUM(B151:B156)</f>
        <v>0.21099999999999999</v>
      </c>
      <c r="C157" s="199" t="s">
        <v>300</v>
      </c>
    </row>
    <row r="159" spans="1:3" ht="14.5" x14ac:dyDescent="0.35">
      <c r="A159" s="200" t="s">
        <v>301</v>
      </c>
      <c r="B159" s="202">
        <v>314444</v>
      </c>
      <c r="C159" s="199" t="s">
        <v>338</v>
      </c>
    </row>
    <row r="160" spans="1:3" ht="14.5" x14ac:dyDescent="0.35">
      <c r="A160" s="203" t="s">
        <v>303</v>
      </c>
      <c r="B160" s="204">
        <v>1.06</v>
      </c>
      <c r="C160" s="204" t="s">
        <v>304</v>
      </c>
    </row>
    <row r="161" spans="1:3" ht="14.5" x14ac:dyDescent="0.35">
      <c r="A161" s="200" t="s">
        <v>305</v>
      </c>
      <c r="B161" s="199">
        <v>24.1</v>
      </c>
      <c r="C161" s="199" t="s">
        <v>313</v>
      </c>
    </row>
    <row r="163" spans="1:3" ht="39.5" x14ac:dyDescent="0.35">
      <c r="A163" s="207" t="s">
        <v>339</v>
      </c>
    </row>
  </sheetData>
  <mergeCells count="10">
    <mergeCell ref="A99:C99"/>
    <mergeCell ref="A116:C116"/>
    <mergeCell ref="A132:C132"/>
    <mergeCell ref="A148:C148"/>
    <mergeCell ref="A1:C1"/>
    <mergeCell ref="A17:C17"/>
    <mergeCell ref="A33:C33"/>
    <mergeCell ref="A67:C67"/>
    <mergeCell ref="A83:C83"/>
    <mergeCell ref="A50:C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02C0-5740-4454-8CF2-D91E910ABB6A}">
  <sheetPr>
    <tabColor rgb="FF00B050"/>
  </sheetPr>
  <dimension ref="A1:C161"/>
  <sheetViews>
    <sheetView workbookViewId="0">
      <selection sqref="A1:XFD1048576"/>
    </sheetView>
  </sheetViews>
  <sheetFormatPr defaultColWidth="8.7265625" defaultRowHeight="14.5" x14ac:dyDescent="0.35"/>
  <cols>
    <col min="1" max="1" width="44.54296875" customWidth="1"/>
    <col min="2" max="2" width="10" bestFit="1" customWidth="1"/>
  </cols>
  <sheetData>
    <row r="1" spans="1:3" x14ac:dyDescent="0.35">
      <c r="A1" s="672" t="s">
        <v>283</v>
      </c>
      <c r="B1" s="672"/>
      <c r="C1" s="672"/>
    </row>
    <row r="2" spans="1:3" ht="24" x14ac:dyDescent="0.35">
      <c r="A2" s="195" t="s">
        <v>284</v>
      </c>
      <c r="B2" s="196" t="s">
        <v>285</v>
      </c>
      <c r="C2" s="196" t="s">
        <v>286</v>
      </c>
    </row>
    <row r="3" spans="1:3" x14ac:dyDescent="0.35">
      <c r="A3" s="121" t="s">
        <v>287</v>
      </c>
      <c r="B3" s="128">
        <v>0.80700000000000005</v>
      </c>
      <c r="C3" s="123" t="s">
        <v>340</v>
      </c>
    </row>
    <row r="4" spans="1:3" x14ac:dyDescent="0.35">
      <c r="A4" s="197" t="s">
        <v>289</v>
      </c>
      <c r="B4" s="198">
        <v>9.7000000000000003E-2</v>
      </c>
      <c r="C4" s="199" t="s">
        <v>341</v>
      </c>
    </row>
    <row r="5" spans="1:3" x14ac:dyDescent="0.35">
      <c r="A5" s="121" t="s">
        <v>291</v>
      </c>
      <c r="B5" s="128">
        <v>2.3E-2</v>
      </c>
      <c r="C5" s="123" t="s">
        <v>342</v>
      </c>
    </row>
    <row r="6" spans="1:3" x14ac:dyDescent="0.35">
      <c r="A6" s="197" t="s">
        <v>293</v>
      </c>
      <c r="B6" s="198">
        <v>0.01</v>
      </c>
      <c r="C6" s="199" t="s">
        <v>343</v>
      </c>
    </row>
    <row r="7" spans="1:3" x14ac:dyDescent="0.35">
      <c r="A7" s="121" t="s">
        <v>294</v>
      </c>
      <c r="B7" s="128">
        <v>2E-3</v>
      </c>
      <c r="C7" s="123" t="s">
        <v>343</v>
      </c>
    </row>
    <row r="8" spans="1:3" x14ac:dyDescent="0.35">
      <c r="A8" s="197" t="s">
        <v>296</v>
      </c>
      <c r="B8" s="198">
        <v>1.6E-2</v>
      </c>
      <c r="C8" s="199" t="s">
        <v>342</v>
      </c>
    </row>
    <row r="9" spans="1:3" x14ac:dyDescent="0.35">
      <c r="A9" s="121" t="s">
        <v>297</v>
      </c>
      <c r="B9" s="128">
        <v>4.5999999999999999E-2</v>
      </c>
      <c r="C9" s="123" t="s">
        <v>344</v>
      </c>
    </row>
    <row r="10" spans="1:3" x14ac:dyDescent="0.35">
      <c r="A10" s="200" t="s">
        <v>299</v>
      </c>
      <c r="B10" s="201">
        <f>SUM(B4:B9)</f>
        <v>0.19400000000000001</v>
      </c>
      <c r="C10" s="199" t="s">
        <v>300</v>
      </c>
    </row>
    <row r="12" spans="1:3" x14ac:dyDescent="0.35">
      <c r="A12" s="200" t="s">
        <v>301</v>
      </c>
      <c r="B12" s="202">
        <v>2713188</v>
      </c>
      <c r="C12" s="199" t="s">
        <v>345</v>
      </c>
    </row>
    <row r="13" spans="1:3" x14ac:dyDescent="0.35">
      <c r="A13" s="203" t="s">
        <v>303</v>
      </c>
      <c r="B13" s="204">
        <v>1.06</v>
      </c>
      <c r="C13" s="204" t="s">
        <v>346</v>
      </c>
    </row>
    <row r="14" spans="1:3" x14ac:dyDescent="0.35">
      <c r="A14" s="200" t="s">
        <v>305</v>
      </c>
      <c r="B14" s="199">
        <v>29.6</v>
      </c>
      <c r="C14" s="199" t="s">
        <v>344</v>
      </c>
    </row>
    <row r="17" spans="1:3" x14ac:dyDescent="0.35">
      <c r="A17" s="672" t="s">
        <v>306</v>
      </c>
      <c r="B17" s="672"/>
      <c r="C17" s="672"/>
    </row>
    <row r="18" spans="1:3" ht="24" x14ac:dyDescent="0.35">
      <c r="A18" s="195" t="s">
        <v>284</v>
      </c>
      <c r="B18" s="196" t="s">
        <v>285</v>
      </c>
      <c r="C18" s="196" t="s">
        <v>286</v>
      </c>
    </row>
    <row r="19" spans="1:3" x14ac:dyDescent="0.35">
      <c r="A19" s="121" t="s">
        <v>287</v>
      </c>
      <c r="B19" s="128">
        <v>0.80300000000000005</v>
      </c>
      <c r="C19" s="123" t="s">
        <v>347</v>
      </c>
    </row>
    <row r="20" spans="1:3" x14ac:dyDescent="0.35">
      <c r="A20" s="197" t="s">
        <v>289</v>
      </c>
      <c r="B20" s="198">
        <v>7.1999999999999995E-2</v>
      </c>
      <c r="C20" s="199" t="s">
        <v>348</v>
      </c>
    </row>
    <row r="21" spans="1:3" x14ac:dyDescent="0.35">
      <c r="A21" s="121" t="s">
        <v>291</v>
      </c>
      <c r="B21" s="128">
        <v>0.01</v>
      </c>
      <c r="C21" s="123" t="s">
        <v>349</v>
      </c>
    </row>
    <row r="22" spans="1:3" x14ac:dyDescent="0.35">
      <c r="A22" s="197" t="s">
        <v>293</v>
      </c>
      <c r="B22" s="198">
        <v>8.0000000000000002E-3</v>
      </c>
      <c r="C22" s="199" t="s">
        <v>349</v>
      </c>
    </row>
    <row r="23" spans="1:3" x14ac:dyDescent="0.35">
      <c r="A23" s="121" t="s">
        <v>294</v>
      </c>
      <c r="B23" s="128">
        <v>3.0000000000000001E-3</v>
      </c>
      <c r="C23" s="123" t="s">
        <v>341</v>
      </c>
    </row>
    <row r="24" spans="1:3" x14ac:dyDescent="0.35">
      <c r="A24" s="197" t="s">
        <v>296</v>
      </c>
      <c r="B24" s="198">
        <v>0.01</v>
      </c>
      <c r="C24" s="199" t="s">
        <v>340</v>
      </c>
    </row>
    <row r="25" spans="1:3" x14ac:dyDescent="0.35">
      <c r="A25" s="121" t="s">
        <v>297</v>
      </c>
      <c r="B25" s="128">
        <v>9.4E-2</v>
      </c>
      <c r="C25" s="123" t="s">
        <v>350</v>
      </c>
    </row>
    <row r="26" spans="1:3" x14ac:dyDescent="0.35">
      <c r="A26" s="200" t="s">
        <v>299</v>
      </c>
      <c r="B26" s="201">
        <f>SUM(B20:B25)</f>
        <v>0.19700000000000001</v>
      </c>
      <c r="C26" s="199" t="s">
        <v>300</v>
      </c>
    </row>
    <row r="28" spans="1:3" x14ac:dyDescent="0.35">
      <c r="A28" s="200" t="s">
        <v>301</v>
      </c>
      <c r="B28" s="202">
        <v>140507</v>
      </c>
      <c r="C28" s="199" t="s">
        <v>351</v>
      </c>
    </row>
    <row r="29" spans="1:3" x14ac:dyDescent="0.35">
      <c r="A29" s="203" t="s">
        <v>303</v>
      </c>
      <c r="B29" s="204">
        <v>1.05</v>
      </c>
      <c r="C29" s="204" t="s">
        <v>346</v>
      </c>
    </row>
    <row r="30" spans="1:3" x14ac:dyDescent="0.35">
      <c r="A30" s="200" t="s">
        <v>305</v>
      </c>
      <c r="B30" s="199">
        <v>29.7</v>
      </c>
      <c r="C30" s="199" t="s">
        <v>352</v>
      </c>
    </row>
    <row r="33" spans="1:3" x14ac:dyDescent="0.35">
      <c r="A33" s="672" t="s">
        <v>315</v>
      </c>
      <c r="B33" s="672"/>
      <c r="C33" s="672"/>
    </row>
    <row r="34" spans="1:3" ht="24" x14ac:dyDescent="0.35">
      <c r="A34" s="195" t="s">
        <v>284</v>
      </c>
      <c r="B34" s="196" t="s">
        <v>285</v>
      </c>
      <c r="C34" s="196" t="s">
        <v>286</v>
      </c>
    </row>
    <row r="35" spans="1:3" x14ac:dyDescent="0.35">
      <c r="A35" s="121" t="s">
        <v>287</v>
      </c>
      <c r="B35" s="128">
        <v>0.86</v>
      </c>
      <c r="C35" s="123" t="s">
        <v>353</v>
      </c>
    </row>
    <row r="36" spans="1:3" x14ac:dyDescent="0.35">
      <c r="A36" s="197" t="s">
        <v>289</v>
      </c>
      <c r="B36" s="198">
        <v>8.4000000000000005E-2</v>
      </c>
      <c r="C36" s="199" t="s">
        <v>354</v>
      </c>
    </row>
    <row r="37" spans="1:3" x14ac:dyDescent="0.35">
      <c r="A37" s="121" t="s">
        <v>291</v>
      </c>
      <c r="B37" s="128">
        <v>2E-3</v>
      </c>
      <c r="C37" s="123" t="s">
        <v>342</v>
      </c>
    </row>
    <row r="38" spans="1:3" x14ac:dyDescent="0.35">
      <c r="A38" s="197" t="s">
        <v>293</v>
      </c>
      <c r="B38" s="198">
        <v>1.2E-2</v>
      </c>
      <c r="C38" s="199" t="s">
        <v>355</v>
      </c>
    </row>
    <row r="39" spans="1:3" x14ac:dyDescent="0.35">
      <c r="A39" s="121" t="s">
        <v>294</v>
      </c>
      <c r="B39" s="128">
        <v>0</v>
      </c>
      <c r="C39" s="123" t="s">
        <v>344</v>
      </c>
    </row>
    <row r="40" spans="1:3" x14ac:dyDescent="0.35">
      <c r="A40" s="197" t="s">
        <v>296</v>
      </c>
      <c r="B40" s="198">
        <v>1.7000000000000001E-2</v>
      </c>
      <c r="C40" s="199" t="s">
        <v>356</v>
      </c>
    </row>
    <row r="41" spans="1:3" x14ac:dyDescent="0.35">
      <c r="A41" s="121" t="s">
        <v>297</v>
      </c>
      <c r="B41" s="128">
        <v>2.5000000000000001E-2</v>
      </c>
      <c r="C41" s="123" t="s">
        <v>357</v>
      </c>
    </row>
    <row r="42" spans="1:3" x14ac:dyDescent="0.35">
      <c r="A42" s="200" t="s">
        <v>299</v>
      </c>
      <c r="B42" s="201">
        <f>SUM(B36:B41)</f>
        <v>0.14000000000000001</v>
      </c>
      <c r="C42" s="199" t="s">
        <v>300</v>
      </c>
    </row>
    <row r="44" spans="1:3" x14ac:dyDescent="0.35">
      <c r="A44" s="200" t="s">
        <v>301</v>
      </c>
      <c r="B44" s="202">
        <v>64157</v>
      </c>
      <c r="C44" s="199" t="s">
        <v>358</v>
      </c>
    </row>
    <row r="45" spans="1:3" x14ac:dyDescent="0.35">
      <c r="A45" s="203" t="s">
        <v>303</v>
      </c>
      <c r="B45" s="204">
        <v>1.05</v>
      </c>
      <c r="C45" s="204" t="s">
        <v>346</v>
      </c>
    </row>
    <row r="46" spans="1:3" x14ac:dyDescent="0.35">
      <c r="A46" s="200" t="s">
        <v>305</v>
      </c>
      <c r="B46" s="199">
        <v>19.3</v>
      </c>
      <c r="C46" s="199" t="s">
        <v>359</v>
      </c>
    </row>
    <row r="49" spans="1:3" x14ac:dyDescent="0.35">
      <c r="A49" s="672" t="s">
        <v>319</v>
      </c>
      <c r="B49" s="672"/>
      <c r="C49" s="672"/>
    </row>
    <row r="50" spans="1:3" ht="24" x14ac:dyDescent="0.35">
      <c r="A50" s="195" t="s">
        <v>284</v>
      </c>
      <c r="B50" s="196" t="s">
        <v>285</v>
      </c>
      <c r="C50" s="196" t="s">
        <v>286</v>
      </c>
    </row>
    <row r="51" spans="1:3" x14ac:dyDescent="0.35">
      <c r="A51" s="121" t="s">
        <v>287</v>
      </c>
      <c r="B51" s="128" t="s">
        <v>316</v>
      </c>
      <c r="C51" s="123" t="s">
        <v>316</v>
      </c>
    </row>
    <row r="52" spans="1:3" x14ac:dyDescent="0.35">
      <c r="A52" s="197" t="s">
        <v>289</v>
      </c>
      <c r="B52" s="198" t="s">
        <v>316</v>
      </c>
      <c r="C52" s="199" t="s">
        <v>316</v>
      </c>
    </row>
    <row r="53" spans="1:3" x14ac:dyDescent="0.35">
      <c r="A53" s="121" t="s">
        <v>291</v>
      </c>
      <c r="B53" s="128" t="s">
        <v>316</v>
      </c>
      <c r="C53" s="123" t="s">
        <v>316</v>
      </c>
    </row>
    <row r="54" spans="1:3" x14ac:dyDescent="0.35">
      <c r="A54" s="197" t="s">
        <v>293</v>
      </c>
      <c r="B54" s="198" t="s">
        <v>316</v>
      </c>
      <c r="C54" s="199" t="s">
        <v>316</v>
      </c>
    </row>
    <row r="55" spans="1:3" x14ac:dyDescent="0.35">
      <c r="A55" s="121" t="s">
        <v>294</v>
      </c>
      <c r="B55" s="128" t="s">
        <v>316</v>
      </c>
      <c r="C55" s="123" t="s">
        <v>316</v>
      </c>
    </row>
    <row r="56" spans="1:3" x14ac:dyDescent="0.35">
      <c r="A56" s="197" t="s">
        <v>296</v>
      </c>
      <c r="B56" s="198" t="s">
        <v>316</v>
      </c>
      <c r="C56" s="199" t="s">
        <v>316</v>
      </c>
    </row>
    <row r="57" spans="1:3" x14ac:dyDescent="0.35">
      <c r="A57" s="121" t="s">
        <v>297</v>
      </c>
      <c r="B57" s="128" t="s">
        <v>316</v>
      </c>
      <c r="C57" s="123" t="s">
        <v>316</v>
      </c>
    </row>
    <row r="58" spans="1:3" x14ac:dyDescent="0.35">
      <c r="A58" s="200" t="s">
        <v>299</v>
      </c>
      <c r="B58" s="201" t="s">
        <v>316</v>
      </c>
      <c r="C58" s="199" t="s">
        <v>300</v>
      </c>
    </row>
    <row r="60" spans="1:3" x14ac:dyDescent="0.35">
      <c r="A60" s="200" t="s">
        <v>301</v>
      </c>
      <c r="B60" s="198" t="s">
        <v>316</v>
      </c>
      <c r="C60" s="199" t="s">
        <v>316</v>
      </c>
    </row>
    <row r="61" spans="1:3" x14ac:dyDescent="0.35">
      <c r="A61" s="203" t="s">
        <v>303</v>
      </c>
      <c r="B61" s="204" t="s">
        <v>316</v>
      </c>
      <c r="C61" s="204" t="s">
        <v>316</v>
      </c>
    </row>
    <row r="62" spans="1:3" x14ac:dyDescent="0.35">
      <c r="A62" s="200" t="s">
        <v>305</v>
      </c>
      <c r="B62" s="199">
        <v>21.3</v>
      </c>
      <c r="C62" s="199" t="s">
        <v>360</v>
      </c>
    </row>
    <row r="63" spans="1:3" x14ac:dyDescent="0.35">
      <c r="A63" s="205" t="s">
        <v>318</v>
      </c>
      <c r="B63" s="206"/>
      <c r="C63" s="206"/>
    </row>
    <row r="65" spans="1:3" ht="39.5" x14ac:dyDescent="0.35">
      <c r="A65" s="207" t="s">
        <v>361</v>
      </c>
    </row>
    <row r="67" spans="1:3" x14ac:dyDescent="0.35">
      <c r="A67" s="673" t="s">
        <v>321</v>
      </c>
      <c r="B67" s="673"/>
      <c r="C67" s="673"/>
    </row>
    <row r="68" spans="1:3" ht="24" x14ac:dyDescent="0.35">
      <c r="A68" s="195" t="s">
        <v>284</v>
      </c>
      <c r="B68" s="196" t="s">
        <v>285</v>
      </c>
      <c r="C68" s="196" t="s">
        <v>286</v>
      </c>
    </row>
    <row r="69" spans="1:3" x14ac:dyDescent="0.35">
      <c r="A69" s="121" t="s">
        <v>287</v>
      </c>
      <c r="B69" s="128">
        <v>0.80300000000000005</v>
      </c>
      <c r="C69" s="123" t="s">
        <v>349</v>
      </c>
    </row>
    <row r="70" spans="1:3" x14ac:dyDescent="0.35">
      <c r="A70" s="197" t="s">
        <v>289</v>
      </c>
      <c r="B70" s="198">
        <v>0.1</v>
      </c>
      <c r="C70" s="199" t="s">
        <v>341</v>
      </c>
    </row>
    <row r="71" spans="1:3" x14ac:dyDescent="0.35">
      <c r="A71" s="121" t="s">
        <v>291</v>
      </c>
      <c r="B71" s="128">
        <v>1.6E-2</v>
      </c>
      <c r="C71" s="123" t="s">
        <v>342</v>
      </c>
    </row>
    <row r="72" spans="1:3" x14ac:dyDescent="0.35">
      <c r="A72" s="197" t="s">
        <v>293</v>
      </c>
      <c r="B72" s="198">
        <v>1.2999999999999999E-2</v>
      </c>
      <c r="C72" s="199" t="s">
        <v>343</v>
      </c>
    </row>
    <row r="73" spans="1:3" x14ac:dyDescent="0.35">
      <c r="A73" s="121" t="s">
        <v>294</v>
      </c>
      <c r="B73" s="128">
        <v>1E-3</v>
      </c>
      <c r="C73" s="123" t="s">
        <v>343</v>
      </c>
    </row>
    <row r="74" spans="1:3" x14ac:dyDescent="0.35">
      <c r="A74" s="197" t="s">
        <v>296</v>
      </c>
      <c r="B74" s="198">
        <v>1.2E-2</v>
      </c>
      <c r="C74" s="199" t="s">
        <v>343</v>
      </c>
    </row>
    <row r="75" spans="1:3" x14ac:dyDescent="0.35">
      <c r="A75" s="121" t="s">
        <v>297</v>
      </c>
      <c r="B75" s="128">
        <v>5.6000000000000001E-2</v>
      </c>
      <c r="C75" s="123" t="s">
        <v>344</v>
      </c>
    </row>
    <row r="76" spans="1:3" x14ac:dyDescent="0.35">
      <c r="A76" s="200" t="s">
        <v>299</v>
      </c>
      <c r="B76" s="201">
        <f>SUM(B70:B75)</f>
        <v>0.19800000000000001</v>
      </c>
      <c r="C76" s="199" t="s">
        <v>300</v>
      </c>
    </row>
    <row r="78" spans="1:3" x14ac:dyDescent="0.35">
      <c r="A78" s="200" t="s">
        <v>301</v>
      </c>
      <c r="B78" s="202">
        <v>2952514</v>
      </c>
      <c r="C78" s="199" t="s">
        <v>362</v>
      </c>
    </row>
    <row r="79" spans="1:3" x14ac:dyDescent="0.35">
      <c r="A79" s="203" t="s">
        <v>303</v>
      </c>
      <c r="B79" s="204">
        <v>1.07</v>
      </c>
      <c r="C79" s="204" t="s">
        <v>346</v>
      </c>
    </row>
    <row r="80" spans="1:3" x14ac:dyDescent="0.35">
      <c r="A80" s="200" t="s">
        <v>305</v>
      </c>
      <c r="B80" s="199">
        <v>27.9</v>
      </c>
      <c r="C80" s="199" t="s">
        <v>342</v>
      </c>
    </row>
    <row r="83" spans="1:3" x14ac:dyDescent="0.35">
      <c r="A83" s="673" t="s">
        <v>323</v>
      </c>
      <c r="B83" s="673"/>
      <c r="C83" s="673"/>
    </row>
    <row r="84" spans="1:3" ht="24" x14ac:dyDescent="0.35">
      <c r="A84" s="195" t="s">
        <v>284</v>
      </c>
      <c r="B84" s="196" t="s">
        <v>285</v>
      </c>
      <c r="C84" s="196" t="s">
        <v>286</v>
      </c>
    </row>
    <row r="85" spans="1:3" x14ac:dyDescent="0.35">
      <c r="A85" s="121" t="s">
        <v>287</v>
      </c>
      <c r="B85" s="128">
        <v>0.80800000000000005</v>
      </c>
      <c r="C85" s="123" t="s">
        <v>363</v>
      </c>
    </row>
    <row r="86" spans="1:3" x14ac:dyDescent="0.35">
      <c r="A86" s="197" t="s">
        <v>289</v>
      </c>
      <c r="B86" s="198">
        <v>8.1000000000000003E-2</v>
      </c>
      <c r="C86" s="199" t="s">
        <v>356</v>
      </c>
    </row>
    <row r="87" spans="1:3" x14ac:dyDescent="0.35">
      <c r="A87" s="121" t="s">
        <v>291</v>
      </c>
      <c r="B87" s="128">
        <v>7.0000000000000001E-3</v>
      </c>
      <c r="C87" s="123" t="s">
        <v>342</v>
      </c>
    </row>
    <row r="88" spans="1:3" x14ac:dyDescent="0.35">
      <c r="A88" s="197" t="s">
        <v>293</v>
      </c>
      <c r="B88" s="198">
        <v>0.02</v>
      </c>
      <c r="C88" s="199" t="s">
        <v>349</v>
      </c>
    </row>
    <row r="89" spans="1:3" x14ac:dyDescent="0.35">
      <c r="A89" s="121" t="s">
        <v>294</v>
      </c>
      <c r="B89" s="128">
        <v>2E-3</v>
      </c>
      <c r="C89" s="123" t="s">
        <v>343</v>
      </c>
    </row>
    <row r="90" spans="1:3" x14ac:dyDescent="0.35">
      <c r="A90" s="197" t="s">
        <v>296</v>
      </c>
      <c r="B90" s="198">
        <v>0.01</v>
      </c>
      <c r="C90" s="199" t="s">
        <v>344</v>
      </c>
    </row>
    <row r="91" spans="1:3" x14ac:dyDescent="0.35">
      <c r="A91" s="121" t="s">
        <v>297</v>
      </c>
      <c r="B91" s="128">
        <v>7.1999999999999995E-2</v>
      </c>
      <c r="C91" s="123" t="s">
        <v>364</v>
      </c>
    </row>
    <row r="92" spans="1:3" x14ac:dyDescent="0.35">
      <c r="A92" s="200" t="s">
        <v>299</v>
      </c>
      <c r="B92" s="201">
        <f>SUM(B86:B91)</f>
        <v>0.192</v>
      </c>
      <c r="C92" s="199" t="s">
        <v>300</v>
      </c>
    </row>
    <row r="94" spans="1:3" x14ac:dyDescent="0.35">
      <c r="A94" s="200" t="s">
        <v>301</v>
      </c>
      <c r="B94" s="202">
        <v>224641</v>
      </c>
      <c r="C94" s="199" t="s">
        <v>365</v>
      </c>
    </row>
    <row r="95" spans="1:3" x14ac:dyDescent="0.35">
      <c r="A95" s="203" t="s">
        <v>303</v>
      </c>
      <c r="B95" s="204">
        <v>1.05</v>
      </c>
      <c r="C95" s="204" t="s">
        <v>346</v>
      </c>
    </row>
    <row r="96" spans="1:3" x14ac:dyDescent="0.35">
      <c r="A96" s="200" t="s">
        <v>305</v>
      </c>
      <c r="B96" s="199">
        <v>25.7</v>
      </c>
      <c r="C96" s="199" t="s">
        <v>366</v>
      </c>
    </row>
    <row r="99" spans="1:3" x14ac:dyDescent="0.35">
      <c r="A99" s="672" t="s">
        <v>329</v>
      </c>
      <c r="B99" s="672"/>
      <c r="C99" s="672"/>
    </row>
    <row r="100" spans="1:3" ht="24" x14ac:dyDescent="0.35">
      <c r="A100" s="195" t="s">
        <v>284</v>
      </c>
      <c r="B100" s="196" t="s">
        <v>285</v>
      </c>
      <c r="C100" s="196" t="s">
        <v>286</v>
      </c>
    </row>
    <row r="101" spans="1:3" x14ac:dyDescent="0.35">
      <c r="A101" s="121" t="s">
        <v>287</v>
      </c>
      <c r="B101" s="128">
        <v>0.77</v>
      </c>
      <c r="C101" s="123" t="s">
        <v>366</v>
      </c>
    </row>
    <row r="102" spans="1:3" x14ac:dyDescent="0.35">
      <c r="A102" s="197" t="s">
        <v>289</v>
      </c>
      <c r="B102" s="198">
        <v>8.5000000000000006E-2</v>
      </c>
      <c r="C102" s="199" t="s">
        <v>340</v>
      </c>
    </row>
    <row r="103" spans="1:3" x14ac:dyDescent="0.35">
      <c r="A103" s="121" t="s">
        <v>291</v>
      </c>
      <c r="B103" s="128">
        <v>2.1999999999999999E-2</v>
      </c>
      <c r="C103" s="123" t="s">
        <v>344</v>
      </c>
    </row>
    <row r="104" spans="1:3" x14ac:dyDescent="0.35">
      <c r="A104" s="197" t="s">
        <v>293</v>
      </c>
      <c r="B104" s="198">
        <v>1.9E-2</v>
      </c>
      <c r="C104" s="199" t="s">
        <v>344</v>
      </c>
    </row>
    <row r="105" spans="1:3" x14ac:dyDescent="0.35">
      <c r="A105" s="121" t="s">
        <v>294</v>
      </c>
      <c r="B105" s="128">
        <v>8.9999999999999993E-3</v>
      </c>
      <c r="C105" s="123" t="s">
        <v>342</v>
      </c>
    </row>
    <row r="106" spans="1:3" x14ac:dyDescent="0.35">
      <c r="A106" s="197" t="s">
        <v>296</v>
      </c>
      <c r="B106" s="198">
        <v>8.9999999999999993E-3</v>
      </c>
      <c r="C106" s="199" t="s">
        <v>342</v>
      </c>
    </row>
    <row r="107" spans="1:3" x14ac:dyDescent="0.35">
      <c r="A107" s="121" t="s">
        <v>297</v>
      </c>
      <c r="B107" s="128">
        <v>8.5999999999999993E-2</v>
      </c>
      <c r="C107" s="123" t="s">
        <v>340</v>
      </c>
    </row>
    <row r="108" spans="1:3" x14ac:dyDescent="0.35">
      <c r="A108" s="200" t="s">
        <v>299</v>
      </c>
      <c r="B108" s="201">
        <f>SUM(B102:B107)</f>
        <v>0.23</v>
      </c>
      <c r="C108" s="199" t="s">
        <v>300</v>
      </c>
    </row>
    <row r="110" spans="1:3" x14ac:dyDescent="0.35">
      <c r="A110" s="200" t="s">
        <v>301</v>
      </c>
      <c r="B110" s="202">
        <v>914705</v>
      </c>
      <c r="C110" s="199" t="s">
        <v>367</v>
      </c>
    </row>
    <row r="111" spans="1:3" x14ac:dyDescent="0.35">
      <c r="A111" s="203" t="s">
        <v>303</v>
      </c>
      <c r="B111" s="204">
        <v>1.06</v>
      </c>
      <c r="C111" s="204" t="s">
        <v>346</v>
      </c>
    </row>
    <row r="112" spans="1:3" x14ac:dyDescent="0.35">
      <c r="A112" s="200" t="s">
        <v>305</v>
      </c>
      <c r="B112" s="199">
        <v>26.4</v>
      </c>
      <c r="C112" s="199" t="s">
        <v>341</v>
      </c>
    </row>
    <row r="116" spans="1:3" x14ac:dyDescent="0.35">
      <c r="A116" s="673" t="s">
        <v>332</v>
      </c>
      <c r="B116" s="673"/>
      <c r="C116" s="673"/>
    </row>
    <row r="117" spans="1:3" ht="24" x14ac:dyDescent="0.35">
      <c r="A117" s="195" t="s">
        <v>284</v>
      </c>
      <c r="B117" s="196" t="s">
        <v>285</v>
      </c>
      <c r="C117" s="196" t="s">
        <v>286</v>
      </c>
    </row>
    <row r="118" spans="1:3" x14ac:dyDescent="0.35">
      <c r="A118" s="121" t="s">
        <v>287</v>
      </c>
      <c r="B118" s="128">
        <v>0.78800000000000003</v>
      </c>
      <c r="C118" s="123" t="s">
        <v>357</v>
      </c>
    </row>
    <row r="119" spans="1:3" x14ac:dyDescent="0.35">
      <c r="A119" s="197" t="s">
        <v>289</v>
      </c>
      <c r="B119" s="198">
        <v>0.114</v>
      </c>
      <c r="C119" s="199" t="s">
        <v>355</v>
      </c>
    </row>
    <row r="120" spans="1:3" x14ac:dyDescent="0.35">
      <c r="A120" s="121" t="s">
        <v>291</v>
      </c>
      <c r="B120" s="128">
        <v>2.1000000000000001E-2</v>
      </c>
      <c r="C120" s="123" t="s">
        <v>341</v>
      </c>
    </row>
    <row r="121" spans="1:3" x14ac:dyDescent="0.35">
      <c r="A121" s="197" t="s">
        <v>293</v>
      </c>
      <c r="B121" s="198">
        <v>0.02</v>
      </c>
      <c r="C121" s="199" t="s">
        <v>344</v>
      </c>
    </row>
    <row r="122" spans="1:3" x14ac:dyDescent="0.35">
      <c r="A122" s="121" t="s">
        <v>294</v>
      </c>
      <c r="B122" s="128">
        <v>2E-3</v>
      </c>
      <c r="C122" s="123" t="s">
        <v>343</v>
      </c>
    </row>
    <row r="123" spans="1:3" x14ac:dyDescent="0.35">
      <c r="A123" s="197" t="s">
        <v>296</v>
      </c>
      <c r="B123" s="198">
        <v>1.2999999999999999E-2</v>
      </c>
      <c r="C123" s="199" t="s">
        <v>344</v>
      </c>
    </row>
    <row r="124" spans="1:3" x14ac:dyDescent="0.35">
      <c r="A124" s="121" t="s">
        <v>297</v>
      </c>
      <c r="B124" s="128">
        <v>4.2000000000000003E-2</v>
      </c>
      <c r="C124" s="123" t="s">
        <v>341</v>
      </c>
    </row>
    <row r="125" spans="1:3" x14ac:dyDescent="0.35">
      <c r="A125" s="200" t="s">
        <v>299</v>
      </c>
      <c r="B125" s="201">
        <f>SUM(B119:B124)</f>
        <v>0.21200000000000002</v>
      </c>
      <c r="C125" s="199" t="s">
        <v>300</v>
      </c>
    </row>
    <row r="127" spans="1:3" x14ac:dyDescent="0.35">
      <c r="A127" s="200" t="s">
        <v>301</v>
      </c>
      <c r="B127" s="202">
        <v>950099</v>
      </c>
      <c r="C127" s="199" t="s">
        <v>368</v>
      </c>
    </row>
    <row r="128" spans="1:3" x14ac:dyDescent="0.35">
      <c r="A128" s="203" t="s">
        <v>303</v>
      </c>
      <c r="B128" s="204">
        <v>1.08</v>
      </c>
      <c r="C128" s="204" t="s">
        <v>346</v>
      </c>
    </row>
    <row r="129" spans="1:3" x14ac:dyDescent="0.35">
      <c r="A129" s="200" t="s">
        <v>305</v>
      </c>
      <c r="B129" s="199">
        <v>25.4</v>
      </c>
      <c r="C129" s="199" t="s">
        <v>341</v>
      </c>
    </row>
    <row r="132" spans="1:3" x14ac:dyDescent="0.35">
      <c r="A132" s="672" t="s">
        <v>334</v>
      </c>
      <c r="B132" s="672"/>
      <c r="C132" s="672"/>
    </row>
    <row r="133" spans="1:3" ht="24" x14ac:dyDescent="0.35">
      <c r="A133" s="195" t="s">
        <v>284</v>
      </c>
      <c r="B133" s="196" t="s">
        <v>285</v>
      </c>
      <c r="C133" s="196" t="s">
        <v>286</v>
      </c>
    </row>
    <row r="134" spans="1:3" x14ac:dyDescent="0.35">
      <c r="A134" s="121" t="s">
        <v>287</v>
      </c>
      <c r="B134" s="128">
        <v>0.82</v>
      </c>
      <c r="C134" s="123" t="s">
        <v>369</v>
      </c>
    </row>
    <row r="135" spans="1:3" x14ac:dyDescent="0.35">
      <c r="A135" s="197" t="s">
        <v>289</v>
      </c>
      <c r="B135" s="198">
        <v>9.5000000000000001E-2</v>
      </c>
      <c r="C135" s="199" t="s">
        <v>359</v>
      </c>
    </row>
    <row r="136" spans="1:3" x14ac:dyDescent="0.35">
      <c r="A136" s="121" t="s">
        <v>291</v>
      </c>
      <c r="B136" s="128">
        <v>1.2E-2</v>
      </c>
      <c r="C136" s="123" t="s">
        <v>341</v>
      </c>
    </row>
    <row r="137" spans="1:3" x14ac:dyDescent="0.35">
      <c r="A137" s="197" t="s">
        <v>293</v>
      </c>
      <c r="B137" s="198">
        <v>1.4E-2</v>
      </c>
      <c r="C137" s="199" t="s">
        <v>349</v>
      </c>
    </row>
    <row r="138" spans="1:3" x14ac:dyDescent="0.35">
      <c r="A138" s="121" t="s">
        <v>294</v>
      </c>
      <c r="B138" s="128">
        <v>1E-3</v>
      </c>
      <c r="C138" s="123" t="s">
        <v>343</v>
      </c>
    </row>
    <row r="139" spans="1:3" x14ac:dyDescent="0.35">
      <c r="A139" s="197" t="s">
        <v>296</v>
      </c>
      <c r="B139" s="198">
        <v>1.9E-2</v>
      </c>
      <c r="C139" s="199" t="s">
        <v>349</v>
      </c>
    </row>
    <row r="140" spans="1:3" x14ac:dyDescent="0.35">
      <c r="A140" s="121" t="s">
        <v>297</v>
      </c>
      <c r="B140" s="128">
        <v>3.7999999999999999E-2</v>
      </c>
      <c r="C140" s="123" t="s">
        <v>340</v>
      </c>
    </row>
    <row r="141" spans="1:3" x14ac:dyDescent="0.35">
      <c r="A141" s="200" t="s">
        <v>299</v>
      </c>
      <c r="B141" s="201">
        <f>SUM(B135:B140)</f>
        <v>0.17899999999999999</v>
      </c>
      <c r="C141" s="199" t="s">
        <v>300</v>
      </c>
    </row>
    <row r="143" spans="1:3" x14ac:dyDescent="0.35">
      <c r="A143" s="200" t="s">
        <v>301</v>
      </c>
      <c r="B143" s="202">
        <v>351007</v>
      </c>
      <c r="C143" s="199" t="s">
        <v>370</v>
      </c>
    </row>
    <row r="144" spans="1:3" x14ac:dyDescent="0.35">
      <c r="A144" s="203" t="s">
        <v>303</v>
      </c>
      <c r="B144" s="204">
        <v>1.06</v>
      </c>
      <c r="C144" s="204" t="s">
        <v>346</v>
      </c>
    </row>
    <row r="145" spans="1:3" x14ac:dyDescent="0.35">
      <c r="A145" s="200" t="s">
        <v>305</v>
      </c>
      <c r="B145" s="199">
        <v>23.1</v>
      </c>
      <c r="C145" s="199" t="s">
        <v>355</v>
      </c>
    </row>
    <row r="148" spans="1:3" x14ac:dyDescent="0.35">
      <c r="A148" s="673" t="s">
        <v>337</v>
      </c>
      <c r="B148" s="673"/>
      <c r="C148" s="673"/>
    </row>
    <row r="149" spans="1:3" ht="24" x14ac:dyDescent="0.35">
      <c r="A149" s="195" t="s">
        <v>284</v>
      </c>
      <c r="B149" s="196" t="s">
        <v>285</v>
      </c>
      <c r="C149" s="196" t="s">
        <v>286</v>
      </c>
    </row>
    <row r="150" spans="1:3" x14ac:dyDescent="0.35">
      <c r="A150" s="121" t="s">
        <v>287</v>
      </c>
      <c r="B150" s="128">
        <v>0.79400000000000004</v>
      </c>
      <c r="C150" s="123" t="s">
        <v>352</v>
      </c>
    </row>
    <row r="151" spans="1:3" x14ac:dyDescent="0.35">
      <c r="A151" s="197" t="s">
        <v>289</v>
      </c>
      <c r="B151" s="198">
        <v>9.4E-2</v>
      </c>
      <c r="C151" s="199" t="s">
        <v>371</v>
      </c>
    </row>
    <row r="152" spans="1:3" x14ac:dyDescent="0.35">
      <c r="A152" s="121" t="s">
        <v>291</v>
      </c>
      <c r="B152" s="128">
        <v>2E-3</v>
      </c>
      <c r="C152" s="123" t="s">
        <v>343</v>
      </c>
    </row>
    <row r="153" spans="1:3" x14ac:dyDescent="0.35">
      <c r="A153" s="197" t="s">
        <v>293</v>
      </c>
      <c r="B153" s="198">
        <v>0.01</v>
      </c>
      <c r="C153" s="199" t="s">
        <v>341</v>
      </c>
    </row>
    <row r="154" spans="1:3" x14ac:dyDescent="0.35">
      <c r="A154" s="121" t="s">
        <v>294</v>
      </c>
      <c r="B154" s="128">
        <v>0</v>
      </c>
      <c r="C154" s="123" t="s">
        <v>343</v>
      </c>
    </row>
    <row r="155" spans="1:3" x14ac:dyDescent="0.35">
      <c r="A155" s="197" t="s">
        <v>296</v>
      </c>
      <c r="B155" s="198">
        <v>3.5999999999999997E-2</v>
      </c>
      <c r="C155" s="199" t="s">
        <v>366</v>
      </c>
    </row>
    <row r="156" spans="1:3" x14ac:dyDescent="0.35">
      <c r="A156" s="121" t="s">
        <v>297</v>
      </c>
      <c r="B156" s="128">
        <v>6.4000000000000001E-2</v>
      </c>
      <c r="C156" s="123" t="s">
        <v>357</v>
      </c>
    </row>
    <row r="157" spans="1:3" x14ac:dyDescent="0.35">
      <c r="A157" s="200" t="s">
        <v>299</v>
      </c>
      <c r="B157" s="201">
        <f>SUM(B151:B156)</f>
        <v>0.20599999999999999</v>
      </c>
      <c r="C157" s="199" t="s">
        <v>300</v>
      </c>
    </row>
    <row r="159" spans="1:3" x14ac:dyDescent="0.35">
      <c r="A159" s="200" t="s">
        <v>301</v>
      </c>
      <c r="B159" s="202">
        <v>310169</v>
      </c>
      <c r="C159" s="199" t="s">
        <v>372</v>
      </c>
    </row>
    <row r="160" spans="1:3" x14ac:dyDescent="0.35">
      <c r="A160" s="203" t="s">
        <v>303</v>
      </c>
      <c r="B160" s="204">
        <v>1.06</v>
      </c>
      <c r="C160" s="204" t="s">
        <v>346</v>
      </c>
    </row>
    <row r="161" spans="1:3" x14ac:dyDescent="0.35">
      <c r="A161" s="200" t="s">
        <v>305</v>
      </c>
      <c r="B161" s="199">
        <v>22.3</v>
      </c>
      <c r="C161" s="199" t="s">
        <v>356</v>
      </c>
    </row>
  </sheetData>
  <mergeCells count="10">
    <mergeCell ref="A99:C99"/>
    <mergeCell ref="A116:C116"/>
    <mergeCell ref="A132:C132"/>
    <mergeCell ref="A148:C148"/>
    <mergeCell ref="A1:C1"/>
    <mergeCell ref="A17:C17"/>
    <mergeCell ref="A33:C33"/>
    <mergeCell ref="A49:C49"/>
    <mergeCell ref="A67:C67"/>
    <mergeCell ref="A83:C8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Q79"/>
  <sheetViews>
    <sheetView workbookViewId="0"/>
  </sheetViews>
  <sheetFormatPr defaultRowHeight="14.5" x14ac:dyDescent="0.35"/>
  <cols>
    <col min="1" max="1" width="23.26953125" customWidth="1"/>
    <col min="2" max="2" width="14.54296875" customWidth="1"/>
    <col min="3" max="3" width="14.7265625" customWidth="1"/>
    <col min="4" max="4" width="14.26953125" customWidth="1"/>
    <col min="5" max="5" width="13.7265625" customWidth="1"/>
    <col min="16" max="16" width="8.7265625" customWidth="1"/>
  </cols>
  <sheetData>
    <row r="1" spans="1:17" x14ac:dyDescent="0.35">
      <c r="A1" s="3" t="s">
        <v>373</v>
      </c>
      <c r="P1" s="5" t="s">
        <v>374</v>
      </c>
      <c r="Q1" s="5"/>
    </row>
    <row r="2" spans="1:17" ht="15" customHeight="1" x14ac:dyDescent="0.35">
      <c r="A2" s="3" t="s">
        <v>375</v>
      </c>
    </row>
    <row r="3" spans="1:17" x14ac:dyDescent="0.35">
      <c r="B3" s="673" t="s">
        <v>283</v>
      </c>
      <c r="C3" s="673"/>
      <c r="D3" s="673"/>
      <c r="E3" s="673"/>
      <c r="I3" s="142" t="s">
        <v>376</v>
      </c>
    </row>
    <row r="4" spans="1:17" ht="24" x14ac:dyDescent="0.35">
      <c r="A4" s="119" t="s">
        <v>377</v>
      </c>
      <c r="B4" s="120" t="s">
        <v>285</v>
      </c>
      <c r="C4" s="120" t="s">
        <v>286</v>
      </c>
      <c r="D4" s="120" t="s">
        <v>378</v>
      </c>
      <c r="E4" s="120" t="s">
        <v>379</v>
      </c>
      <c r="I4" s="143" t="s">
        <v>380</v>
      </c>
    </row>
    <row r="5" spans="1:17" ht="23" x14ac:dyDescent="0.35">
      <c r="A5" s="121" t="s">
        <v>301</v>
      </c>
      <c r="B5" s="122">
        <v>2547066</v>
      </c>
      <c r="C5" s="123" t="s">
        <v>381</v>
      </c>
      <c r="D5" s="122">
        <v>2547066</v>
      </c>
      <c r="E5" s="123" t="s">
        <v>300</v>
      </c>
      <c r="I5" s="142"/>
      <c r="J5" s="142"/>
    </row>
    <row r="6" spans="1:17" ht="23" x14ac:dyDescent="0.35">
      <c r="A6" s="124" t="s">
        <v>287</v>
      </c>
      <c r="B6" s="125">
        <v>2035102</v>
      </c>
      <c r="C6" s="126" t="s">
        <v>382</v>
      </c>
      <c r="D6" s="127">
        <v>0.79900000000000004</v>
      </c>
      <c r="E6" s="126" t="s">
        <v>344</v>
      </c>
      <c r="G6" t="s">
        <v>383</v>
      </c>
      <c r="I6" s="142" t="s">
        <v>384</v>
      </c>
      <c r="J6" s="142"/>
    </row>
    <row r="7" spans="1:17" ht="23" x14ac:dyDescent="0.35">
      <c r="A7" s="121" t="s">
        <v>289</v>
      </c>
      <c r="B7" s="122">
        <v>276638</v>
      </c>
      <c r="C7" s="123" t="s">
        <v>385</v>
      </c>
      <c r="D7" s="128">
        <v>0.109</v>
      </c>
      <c r="E7" s="123" t="s">
        <v>342</v>
      </c>
      <c r="G7" s="144">
        <f>SUM(D7:D11)</f>
        <v>0.20100000000000001</v>
      </c>
      <c r="I7" s="143" t="s">
        <v>386</v>
      </c>
    </row>
    <row r="8" spans="1:17" ht="23" x14ac:dyDescent="0.35">
      <c r="A8" s="124" t="s">
        <v>291</v>
      </c>
      <c r="B8" s="125">
        <v>64171</v>
      </c>
      <c r="C8" s="126" t="s">
        <v>387</v>
      </c>
      <c r="D8" s="127">
        <v>2.5000000000000001E-2</v>
      </c>
      <c r="E8" s="126" t="s">
        <v>343</v>
      </c>
      <c r="G8" s="129"/>
      <c r="I8" s="142"/>
    </row>
    <row r="9" spans="1:17" x14ac:dyDescent="0.35">
      <c r="A9" s="121" t="s">
        <v>293</v>
      </c>
      <c r="B9" s="122">
        <v>34331</v>
      </c>
      <c r="C9" s="123" t="s">
        <v>388</v>
      </c>
      <c r="D9" s="128">
        <v>1.2999999999999999E-2</v>
      </c>
      <c r="E9" s="123" t="s">
        <v>343</v>
      </c>
      <c r="G9" s="129"/>
      <c r="I9" s="142" t="s">
        <v>389</v>
      </c>
    </row>
    <row r="10" spans="1:17" x14ac:dyDescent="0.35">
      <c r="A10" s="124" t="s">
        <v>390</v>
      </c>
      <c r="B10" s="125">
        <v>45887</v>
      </c>
      <c r="C10" s="126" t="s">
        <v>391</v>
      </c>
      <c r="D10" s="127">
        <v>1.7999999999999999E-2</v>
      </c>
      <c r="E10" s="126" t="s">
        <v>343</v>
      </c>
      <c r="G10" s="129"/>
      <c r="I10" s="143" t="s">
        <v>392</v>
      </c>
    </row>
    <row r="11" spans="1:17" x14ac:dyDescent="0.35">
      <c r="A11" s="121" t="s">
        <v>297</v>
      </c>
      <c r="B11" s="122">
        <v>90937</v>
      </c>
      <c r="C11" s="123" t="s">
        <v>393</v>
      </c>
      <c r="D11" s="128">
        <v>3.5999999999999997E-2</v>
      </c>
      <c r="E11" s="123" t="s">
        <v>343</v>
      </c>
      <c r="G11" s="129"/>
    </row>
    <row r="12" spans="1:17" x14ac:dyDescent="0.35">
      <c r="A12" s="124"/>
      <c r="B12" s="126"/>
      <c r="C12" s="126"/>
      <c r="D12" s="126"/>
      <c r="E12" s="126"/>
      <c r="G12" s="129"/>
    </row>
    <row r="13" spans="1:17" ht="23" x14ac:dyDescent="0.35">
      <c r="A13" s="121" t="s">
        <v>305</v>
      </c>
      <c r="B13" s="123">
        <v>29.2</v>
      </c>
      <c r="C13" s="123" t="s">
        <v>343</v>
      </c>
      <c r="D13" s="123" t="s">
        <v>300</v>
      </c>
      <c r="E13" s="123" t="s">
        <v>300</v>
      </c>
      <c r="G13" s="129"/>
      <c r="I13" t="s">
        <v>394</v>
      </c>
    </row>
    <row r="14" spans="1:17" x14ac:dyDescent="0.35">
      <c r="G14" s="129"/>
      <c r="I14" s="153" t="s">
        <v>395</v>
      </c>
    </row>
    <row r="15" spans="1:17" x14ac:dyDescent="0.35">
      <c r="G15" s="129"/>
      <c r="I15" t="s">
        <v>396</v>
      </c>
      <c r="J15" s="142"/>
    </row>
    <row r="16" spans="1:17" x14ac:dyDescent="0.35">
      <c r="B16" s="673" t="s">
        <v>306</v>
      </c>
      <c r="C16" s="673"/>
      <c r="D16" s="673"/>
      <c r="E16" s="673"/>
      <c r="G16" s="129"/>
      <c r="J16" s="142"/>
    </row>
    <row r="17" spans="1:7" ht="24" x14ac:dyDescent="0.35">
      <c r="A17" s="119" t="s">
        <v>377</v>
      </c>
      <c r="B17" s="120" t="s">
        <v>285</v>
      </c>
      <c r="C17" s="120" t="s">
        <v>286</v>
      </c>
      <c r="D17" s="120" t="s">
        <v>378</v>
      </c>
      <c r="E17" s="120" t="s">
        <v>379</v>
      </c>
      <c r="G17" s="129"/>
    </row>
    <row r="18" spans="1:7" ht="23.65" customHeight="1" x14ac:dyDescent="0.35">
      <c r="A18" s="121" t="s">
        <v>301</v>
      </c>
      <c r="B18" s="122">
        <v>129359</v>
      </c>
      <c r="C18" s="123" t="s">
        <v>397</v>
      </c>
      <c r="D18" s="122">
        <v>129359</v>
      </c>
      <c r="E18" s="123" t="s">
        <v>300</v>
      </c>
      <c r="G18" s="129"/>
    </row>
    <row r="19" spans="1:7" ht="23" x14ac:dyDescent="0.35">
      <c r="A19" s="124" t="s">
        <v>287</v>
      </c>
      <c r="B19" s="125">
        <v>104954</v>
      </c>
      <c r="C19" s="126" t="s">
        <v>398</v>
      </c>
      <c r="D19" s="127">
        <v>0.81100000000000005</v>
      </c>
      <c r="E19" s="126" t="s">
        <v>356</v>
      </c>
      <c r="G19" s="129"/>
    </row>
    <row r="20" spans="1:7" ht="23" x14ac:dyDescent="0.35">
      <c r="A20" s="121" t="s">
        <v>289</v>
      </c>
      <c r="B20" s="122">
        <v>12083</v>
      </c>
      <c r="C20" s="123" t="s">
        <v>399</v>
      </c>
      <c r="D20" s="128">
        <v>9.2999999999999999E-2</v>
      </c>
      <c r="E20" s="123" t="s">
        <v>364</v>
      </c>
      <c r="G20" s="130">
        <f>SUM(D20:D24)</f>
        <v>0.188</v>
      </c>
    </row>
    <row r="21" spans="1:7" ht="23" x14ac:dyDescent="0.35">
      <c r="A21" s="124" t="s">
        <v>291</v>
      </c>
      <c r="B21" s="125">
        <v>2333</v>
      </c>
      <c r="C21" s="126" t="s">
        <v>400</v>
      </c>
      <c r="D21" s="127">
        <v>1.7999999999999999E-2</v>
      </c>
      <c r="E21" s="126" t="s">
        <v>344</v>
      </c>
    </row>
    <row r="22" spans="1:7" x14ac:dyDescent="0.35">
      <c r="A22" s="121" t="s">
        <v>293</v>
      </c>
      <c r="B22" s="122">
        <v>1611</v>
      </c>
      <c r="C22" s="123" t="s">
        <v>401</v>
      </c>
      <c r="D22" s="128">
        <v>1.2E-2</v>
      </c>
      <c r="E22" s="123" t="s">
        <v>341</v>
      </c>
    </row>
    <row r="23" spans="1:7" x14ac:dyDescent="0.35">
      <c r="A23" s="124" t="s">
        <v>390</v>
      </c>
      <c r="B23" s="125">
        <v>1800</v>
      </c>
      <c r="C23" s="126" t="s">
        <v>402</v>
      </c>
      <c r="D23" s="127">
        <v>1.4E-2</v>
      </c>
      <c r="E23" s="126" t="s">
        <v>344</v>
      </c>
    </row>
    <row r="24" spans="1:7" x14ac:dyDescent="0.35">
      <c r="A24" s="121" t="s">
        <v>297</v>
      </c>
      <c r="B24" s="122">
        <v>6578</v>
      </c>
      <c r="C24" s="123" t="s">
        <v>403</v>
      </c>
      <c r="D24" s="128">
        <v>5.0999999999999997E-2</v>
      </c>
      <c r="E24" s="123" t="s">
        <v>340</v>
      </c>
    </row>
    <row r="25" spans="1:7" x14ac:dyDescent="0.35">
      <c r="A25" s="124"/>
      <c r="B25" s="126"/>
      <c r="C25" s="126"/>
      <c r="D25" s="126"/>
      <c r="E25" s="126"/>
    </row>
    <row r="26" spans="1:7" ht="23" x14ac:dyDescent="0.35">
      <c r="A26" s="121" t="s">
        <v>305</v>
      </c>
      <c r="B26" s="123">
        <v>29.8</v>
      </c>
      <c r="C26" s="123" t="s">
        <v>355</v>
      </c>
      <c r="D26" s="123" t="s">
        <v>300</v>
      </c>
      <c r="E26" s="123" t="s">
        <v>300</v>
      </c>
    </row>
    <row r="27" spans="1:7" x14ac:dyDescent="0.35">
      <c r="A27" s="121"/>
      <c r="B27" s="131"/>
      <c r="C27" s="131"/>
      <c r="D27" s="131"/>
      <c r="E27" s="131"/>
    </row>
    <row r="29" spans="1:7" x14ac:dyDescent="0.35">
      <c r="B29" s="673" t="s">
        <v>315</v>
      </c>
      <c r="C29" s="673"/>
      <c r="D29" s="673"/>
      <c r="E29" s="673"/>
    </row>
    <row r="30" spans="1:7" ht="24" x14ac:dyDescent="0.35">
      <c r="A30" s="132" t="s">
        <v>377</v>
      </c>
      <c r="B30" s="120" t="s">
        <v>285</v>
      </c>
      <c r="C30" s="120" t="s">
        <v>286</v>
      </c>
      <c r="D30" s="120" t="s">
        <v>378</v>
      </c>
      <c r="E30" s="120" t="s">
        <v>379</v>
      </c>
    </row>
    <row r="31" spans="1:7" x14ac:dyDescent="0.35">
      <c r="A31" s="133" t="s">
        <v>301</v>
      </c>
      <c r="B31" s="134">
        <v>64516</v>
      </c>
      <c r="C31" s="131" t="s">
        <v>404</v>
      </c>
      <c r="D31" s="134">
        <v>64516</v>
      </c>
      <c r="E31" s="131" t="s">
        <v>300</v>
      </c>
    </row>
    <row r="32" spans="1:7" ht="21" x14ac:dyDescent="0.35">
      <c r="A32" s="135" t="s">
        <v>287</v>
      </c>
      <c r="B32" s="136">
        <v>57692</v>
      </c>
      <c r="C32" s="137" t="s">
        <v>405</v>
      </c>
      <c r="D32" s="138">
        <v>0.89400000000000002</v>
      </c>
      <c r="E32" s="137" t="s">
        <v>357</v>
      </c>
    </row>
    <row r="33" spans="1:7" x14ac:dyDescent="0.35">
      <c r="A33" s="133" t="s">
        <v>289</v>
      </c>
      <c r="B33" s="134">
        <v>4115</v>
      </c>
      <c r="C33" s="131" t="s">
        <v>406</v>
      </c>
      <c r="D33" s="139">
        <v>6.4000000000000001E-2</v>
      </c>
      <c r="E33" s="131" t="s">
        <v>366</v>
      </c>
      <c r="G33" s="130">
        <f>SUM(D33:D37)</f>
        <v>0.106</v>
      </c>
    </row>
    <row r="34" spans="1:7" ht="21.4" customHeight="1" x14ac:dyDescent="0.35">
      <c r="A34" s="135" t="s">
        <v>291</v>
      </c>
      <c r="B34" s="137">
        <v>473</v>
      </c>
      <c r="C34" s="137" t="s">
        <v>407</v>
      </c>
      <c r="D34" s="138">
        <v>7.0000000000000001E-3</v>
      </c>
      <c r="E34" s="137" t="s">
        <v>344</v>
      </c>
      <c r="G34" s="129"/>
    </row>
    <row r="35" spans="1:7" x14ac:dyDescent="0.35">
      <c r="A35" s="133" t="s">
        <v>293</v>
      </c>
      <c r="B35" s="131">
        <v>614</v>
      </c>
      <c r="C35" s="131" t="s">
        <v>408</v>
      </c>
      <c r="D35" s="139">
        <v>0.01</v>
      </c>
      <c r="E35" s="131" t="s">
        <v>344</v>
      </c>
      <c r="G35" s="129"/>
    </row>
    <row r="36" spans="1:7" x14ac:dyDescent="0.35">
      <c r="A36" s="135" t="s">
        <v>390</v>
      </c>
      <c r="B36" s="137">
        <v>730</v>
      </c>
      <c r="C36" s="137" t="s">
        <v>409</v>
      </c>
      <c r="D36" s="138">
        <v>1.0999999999999999E-2</v>
      </c>
      <c r="E36" s="137" t="s">
        <v>341</v>
      </c>
      <c r="G36" s="129"/>
    </row>
    <row r="37" spans="1:7" x14ac:dyDescent="0.35">
      <c r="A37" s="133" t="s">
        <v>297</v>
      </c>
      <c r="B37" s="131">
        <v>892</v>
      </c>
      <c r="C37" s="131" t="s">
        <v>410</v>
      </c>
      <c r="D37" s="139">
        <v>1.4E-2</v>
      </c>
      <c r="E37" s="131" t="s">
        <v>344</v>
      </c>
      <c r="G37" s="129"/>
    </row>
    <row r="38" spans="1:7" x14ac:dyDescent="0.35">
      <c r="A38" s="135"/>
      <c r="B38" s="137"/>
      <c r="C38" s="137"/>
      <c r="D38" s="137"/>
      <c r="E38" s="137"/>
      <c r="G38" s="129"/>
    </row>
    <row r="39" spans="1:7" ht="21" x14ac:dyDescent="0.35">
      <c r="A39" s="133" t="s">
        <v>305</v>
      </c>
      <c r="B39" s="131">
        <v>19.399999999999999</v>
      </c>
      <c r="C39" s="131" t="s">
        <v>340</v>
      </c>
      <c r="D39" s="131" t="s">
        <v>300</v>
      </c>
      <c r="E39" s="131" t="s">
        <v>300</v>
      </c>
      <c r="G39" s="129"/>
    </row>
    <row r="40" spans="1:7" x14ac:dyDescent="0.35">
      <c r="G40" s="129"/>
    </row>
    <row r="41" spans="1:7" x14ac:dyDescent="0.35">
      <c r="G41" s="129"/>
    </row>
    <row r="42" spans="1:7" x14ac:dyDescent="0.35">
      <c r="G42" s="129"/>
    </row>
    <row r="43" spans="1:7" x14ac:dyDescent="0.35">
      <c r="B43" s="673" t="s">
        <v>319</v>
      </c>
      <c r="C43" s="673"/>
      <c r="D43" s="673"/>
      <c r="E43" s="673"/>
      <c r="G43" s="129"/>
    </row>
    <row r="44" spans="1:7" ht="24" x14ac:dyDescent="0.35">
      <c r="A44" s="132" t="s">
        <v>377</v>
      </c>
      <c r="B44" s="120" t="s">
        <v>285</v>
      </c>
      <c r="C44" s="120" t="s">
        <v>286</v>
      </c>
      <c r="D44" s="120" t="s">
        <v>378</v>
      </c>
      <c r="E44" s="120" t="s">
        <v>379</v>
      </c>
      <c r="G44" s="129"/>
    </row>
    <row r="45" spans="1:7" x14ac:dyDescent="0.35">
      <c r="A45" s="133" t="s">
        <v>301</v>
      </c>
      <c r="B45" s="134">
        <v>36198</v>
      </c>
      <c r="C45" s="131" t="s">
        <v>411</v>
      </c>
      <c r="D45" s="134">
        <v>36198</v>
      </c>
      <c r="E45" s="131" t="s">
        <v>300</v>
      </c>
      <c r="G45" s="129"/>
    </row>
    <row r="46" spans="1:7" ht="21" x14ac:dyDescent="0.35">
      <c r="A46" s="135" t="s">
        <v>287</v>
      </c>
      <c r="B46" s="136">
        <v>30937</v>
      </c>
      <c r="C46" s="137" t="s">
        <v>412</v>
      </c>
      <c r="D46" s="138">
        <v>0.85499999999999998</v>
      </c>
      <c r="E46" s="137" t="s">
        <v>360</v>
      </c>
      <c r="G46" s="129"/>
    </row>
    <row r="47" spans="1:7" x14ac:dyDescent="0.35">
      <c r="A47" s="133" t="s">
        <v>289</v>
      </c>
      <c r="B47" s="134">
        <v>3702</v>
      </c>
      <c r="C47" s="131" t="s">
        <v>413</v>
      </c>
      <c r="D47" s="139">
        <v>0.10199999999999999</v>
      </c>
      <c r="E47" s="131" t="s">
        <v>348</v>
      </c>
      <c r="G47" s="130">
        <f>SUM(D47:D51)</f>
        <v>0.14500000000000002</v>
      </c>
    </row>
    <row r="48" spans="1:7" ht="21" x14ac:dyDescent="0.35">
      <c r="A48" s="135" t="s">
        <v>291</v>
      </c>
      <c r="B48" s="137">
        <v>158</v>
      </c>
      <c r="C48" s="137" t="s">
        <v>414</v>
      </c>
      <c r="D48" s="138">
        <v>4.0000000000000001E-3</v>
      </c>
      <c r="E48" s="137" t="s">
        <v>344</v>
      </c>
    </row>
    <row r="49" spans="1:7" x14ac:dyDescent="0.35">
      <c r="A49" s="133" t="s">
        <v>293</v>
      </c>
      <c r="B49" s="131">
        <v>349</v>
      </c>
      <c r="C49" s="131" t="s">
        <v>415</v>
      </c>
      <c r="D49" s="139">
        <v>0.01</v>
      </c>
      <c r="E49" s="131" t="s">
        <v>341</v>
      </c>
    </row>
    <row r="50" spans="1:7" ht="14.65" customHeight="1" x14ac:dyDescent="0.35">
      <c r="A50" s="135" t="s">
        <v>390</v>
      </c>
      <c r="B50" s="137">
        <v>501</v>
      </c>
      <c r="C50" s="137" t="s">
        <v>416</v>
      </c>
      <c r="D50" s="138">
        <v>1.4E-2</v>
      </c>
      <c r="E50" s="137" t="s">
        <v>349</v>
      </c>
    </row>
    <row r="51" spans="1:7" x14ac:dyDescent="0.35">
      <c r="A51" s="133" t="s">
        <v>297</v>
      </c>
      <c r="B51" s="131">
        <v>551</v>
      </c>
      <c r="C51" s="131" t="s">
        <v>417</v>
      </c>
      <c r="D51" s="139">
        <v>1.4999999999999999E-2</v>
      </c>
      <c r="E51" s="131" t="s">
        <v>341</v>
      </c>
    </row>
    <row r="52" spans="1:7" x14ac:dyDescent="0.35">
      <c r="A52" s="135"/>
      <c r="B52" s="137"/>
      <c r="C52" s="137"/>
      <c r="D52" s="137"/>
      <c r="E52" s="137"/>
    </row>
    <row r="53" spans="1:7" ht="21" x14ac:dyDescent="0.35">
      <c r="A53" s="133" t="s">
        <v>305</v>
      </c>
      <c r="B53" s="131">
        <v>20.7</v>
      </c>
      <c r="C53" s="131" t="s">
        <v>366</v>
      </c>
      <c r="D53" s="131" t="s">
        <v>300</v>
      </c>
      <c r="E53" s="131" t="s">
        <v>300</v>
      </c>
    </row>
    <row r="57" spans="1:7" x14ac:dyDescent="0.35">
      <c r="B57" s="673" t="s">
        <v>321</v>
      </c>
      <c r="C57" s="673"/>
      <c r="D57" s="673"/>
      <c r="E57" s="673"/>
    </row>
    <row r="58" spans="1:7" ht="24" x14ac:dyDescent="0.35">
      <c r="A58" s="132" t="s">
        <v>377</v>
      </c>
      <c r="B58" s="140" t="s">
        <v>285</v>
      </c>
      <c r="C58" s="140" t="s">
        <v>286</v>
      </c>
      <c r="D58" s="140" t="s">
        <v>378</v>
      </c>
      <c r="E58" s="140" t="s">
        <v>379</v>
      </c>
    </row>
    <row r="59" spans="1:7" x14ac:dyDescent="0.35">
      <c r="A59" s="133" t="s">
        <v>301</v>
      </c>
      <c r="B59" s="134">
        <v>2681277</v>
      </c>
      <c r="C59" s="131" t="s">
        <v>418</v>
      </c>
      <c r="D59" s="134">
        <v>2681277</v>
      </c>
      <c r="E59" s="131" t="s">
        <v>300</v>
      </c>
    </row>
    <row r="60" spans="1:7" ht="21" x14ac:dyDescent="0.35">
      <c r="A60" s="135" t="s">
        <v>287</v>
      </c>
      <c r="B60" s="136">
        <v>2158222</v>
      </c>
      <c r="C60" s="137" t="s">
        <v>419</v>
      </c>
      <c r="D60" s="138">
        <v>0.80500000000000005</v>
      </c>
      <c r="E60" s="137" t="s">
        <v>342</v>
      </c>
      <c r="G60" t="s">
        <v>383</v>
      </c>
    </row>
    <row r="61" spans="1:7" x14ac:dyDescent="0.35">
      <c r="A61" s="133" t="s">
        <v>289</v>
      </c>
      <c r="B61" s="134">
        <v>270658</v>
      </c>
      <c r="C61" s="131" t="s">
        <v>420</v>
      </c>
      <c r="D61" s="139">
        <v>0.10100000000000001</v>
      </c>
      <c r="E61" s="131" t="s">
        <v>342</v>
      </c>
      <c r="G61" s="145">
        <f>SUM(D61:D65)</f>
        <v>0.19600000000000001</v>
      </c>
    </row>
    <row r="62" spans="1:7" ht="21" x14ac:dyDescent="0.35">
      <c r="A62" s="135" t="s">
        <v>291</v>
      </c>
      <c r="B62" s="136">
        <v>46674</v>
      </c>
      <c r="C62" s="137" t="s">
        <v>421</v>
      </c>
      <c r="D62" s="138">
        <v>1.7000000000000001E-2</v>
      </c>
      <c r="E62" s="137" t="s">
        <v>343</v>
      </c>
      <c r="G62" s="129"/>
    </row>
    <row r="63" spans="1:7" x14ac:dyDescent="0.35">
      <c r="A63" s="133" t="s">
        <v>293</v>
      </c>
      <c r="B63" s="134">
        <v>33735</v>
      </c>
      <c r="C63" s="131" t="s">
        <v>422</v>
      </c>
      <c r="D63" s="139">
        <v>1.2999999999999999E-2</v>
      </c>
      <c r="E63" s="131" t="s">
        <v>343</v>
      </c>
      <c r="G63" s="129"/>
    </row>
    <row r="64" spans="1:7" x14ac:dyDescent="0.35">
      <c r="A64" s="135" t="s">
        <v>390</v>
      </c>
      <c r="B64" s="136">
        <v>44537</v>
      </c>
      <c r="C64" s="137" t="s">
        <v>423</v>
      </c>
      <c r="D64" s="138">
        <v>1.7000000000000001E-2</v>
      </c>
      <c r="E64" s="137" t="s">
        <v>343</v>
      </c>
      <c r="G64" s="129"/>
    </row>
    <row r="65" spans="1:7" x14ac:dyDescent="0.35">
      <c r="A65" s="133" t="s">
        <v>297</v>
      </c>
      <c r="B65" s="134">
        <v>127451</v>
      </c>
      <c r="C65" s="131" t="s">
        <v>424</v>
      </c>
      <c r="D65" s="139">
        <v>4.8000000000000001E-2</v>
      </c>
      <c r="E65" s="131" t="s">
        <v>343</v>
      </c>
      <c r="G65" s="129"/>
    </row>
    <row r="66" spans="1:7" x14ac:dyDescent="0.35">
      <c r="A66" s="135"/>
      <c r="B66" s="137"/>
      <c r="C66" s="137"/>
      <c r="D66" s="137"/>
      <c r="E66" s="137"/>
      <c r="G66" s="129"/>
    </row>
    <row r="67" spans="1:7" ht="21" x14ac:dyDescent="0.35">
      <c r="A67" s="133" t="s">
        <v>305</v>
      </c>
      <c r="B67" s="131">
        <v>27.2</v>
      </c>
      <c r="C67" s="131" t="s">
        <v>343</v>
      </c>
      <c r="D67" s="131" t="s">
        <v>300</v>
      </c>
      <c r="E67" s="131" t="s">
        <v>300</v>
      </c>
      <c r="G67" s="129"/>
    </row>
    <row r="68" spans="1:7" x14ac:dyDescent="0.35">
      <c r="G68" s="129"/>
    </row>
    <row r="69" spans="1:7" x14ac:dyDescent="0.35">
      <c r="B69" s="673" t="s">
        <v>323</v>
      </c>
      <c r="C69" s="673"/>
      <c r="D69" s="673"/>
      <c r="E69" s="673"/>
      <c r="G69" s="129"/>
    </row>
    <row r="70" spans="1:7" ht="24" x14ac:dyDescent="0.35">
      <c r="A70" s="132" t="s">
        <v>377</v>
      </c>
      <c r="B70" s="140" t="s">
        <v>285</v>
      </c>
      <c r="C70" s="140" t="s">
        <v>286</v>
      </c>
      <c r="D70" s="140" t="s">
        <v>378</v>
      </c>
      <c r="E70" s="140" t="s">
        <v>379</v>
      </c>
      <c r="G70" s="129"/>
    </row>
    <row r="71" spans="1:7" x14ac:dyDescent="0.35">
      <c r="A71" s="133" t="s">
        <v>301</v>
      </c>
      <c r="B71" s="134">
        <v>206145</v>
      </c>
      <c r="C71" s="131" t="s">
        <v>425</v>
      </c>
      <c r="D71" s="134">
        <v>206145</v>
      </c>
      <c r="E71" s="131" t="s">
        <v>300</v>
      </c>
      <c r="G71" s="129"/>
    </row>
    <row r="72" spans="1:7" ht="21" x14ac:dyDescent="0.35">
      <c r="A72" s="135" t="s">
        <v>287</v>
      </c>
      <c r="B72" s="136">
        <v>164322</v>
      </c>
      <c r="C72" s="137" t="s">
        <v>426</v>
      </c>
      <c r="D72" s="138">
        <v>0.79700000000000004</v>
      </c>
      <c r="E72" s="137" t="s">
        <v>366</v>
      </c>
      <c r="G72" s="129"/>
    </row>
    <row r="73" spans="1:7" x14ac:dyDescent="0.35">
      <c r="A73" s="133" t="s">
        <v>289</v>
      </c>
      <c r="B73" s="134">
        <v>19131</v>
      </c>
      <c r="C73" s="131" t="s">
        <v>427</v>
      </c>
      <c r="D73" s="139">
        <v>9.2999999999999999E-2</v>
      </c>
      <c r="E73" s="131" t="s">
        <v>340</v>
      </c>
      <c r="G73" s="141">
        <f>SUM(D73:D77)</f>
        <v>0.20300000000000001</v>
      </c>
    </row>
    <row r="74" spans="1:7" ht="21" x14ac:dyDescent="0.35">
      <c r="A74" s="135" t="s">
        <v>291</v>
      </c>
      <c r="B74" s="136">
        <v>2272</v>
      </c>
      <c r="C74" s="137" t="s">
        <v>428</v>
      </c>
      <c r="D74" s="138">
        <v>1.0999999999999999E-2</v>
      </c>
      <c r="E74" s="137" t="s">
        <v>342</v>
      </c>
      <c r="G74" s="129"/>
    </row>
    <row r="75" spans="1:7" x14ac:dyDescent="0.35">
      <c r="A75" s="133" t="s">
        <v>293</v>
      </c>
      <c r="B75" s="134">
        <v>3913</v>
      </c>
      <c r="C75" s="131" t="s">
        <v>429</v>
      </c>
      <c r="D75" s="139">
        <v>1.9E-2</v>
      </c>
      <c r="E75" s="131" t="s">
        <v>342</v>
      </c>
    </row>
    <row r="76" spans="1:7" x14ac:dyDescent="0.35">
      <c r="A76" s="135" t="s">
        <v>390</v>
      </c>
      <c r="B76" s="136">
        <v>3168</v>
      </c>
      <c r="C76" s="137" t="s">
        <v>430</v>
      </c>
      <c r="D76" s="138">
        <v>1.4999999999999999E-2</v>
      </c>
      <c r="E76" s="137" t="s">
        <v>342</v>
      </c>
    </row>
    <row r="77" spans="1:7" x14ac:dyDescent="0.35">
      <c r="A77" s="133" t="s">
        <v>297</v>
      </c>
      <c r="B77" s="134">
        <v>13339</v>
      </c>
      <c r="C77" s="131" t="s">
        <v>431</v>
      </c>
      <c r="D77" s="139">
        <v>6.5000000000000002E-2</v>
      </c>
      <c r="E77" s="131" t="s">
        <v>341</v>
      </c>
    </row>
    <row r="78" spans="1:7" x14ac:dyDescent="0.35">
      <c r="A78" s="135"/>
      <c r="B78" s="137"/>
      <c r="C78" s="137"/>
      <c r="D78" s="137"/>
      <c r="E78" s="137"/>
    </row>
    <row r="79" spans="1:7" ht="21" x14ac:dyDescent="0.35">
      <c r="A79" s="133" t="s">
        <v>305</v>
      </c>
      <c r="B79" s="131">
        <v>26.8</v>
      </c>
      <c r="C79" s="131" t="s">
        <v>341</v>
      </c>
      <c r="D79" s="131" t="s">
        <v>300</v>
      </c>
      <c r="E79" s="131" t="s">
        <v>300</v>
      </c>
    </row>
  </sheetData>
  <mergeCells count="6">
    <mergeCell ref="B69:E69"/>
    <mergeCell ref="B3:E3"/>
    <mergeCell ref="B16:E16"/>
    <mergeCell ref="B29:E29"/>
    <mergeCell ref="B43:E43"/>
    <mergeCell ref="B57:E57"/>
  </mergeCells>
  <hyperlinks>
    <hyperlink ref="I4" r:id="rId1" xr:uid="{00000000-0004-0000-0600-000000000000}"/>
    <hyperlink ref="I7" r:id="rId2" xr:uid="{00000000-0004-0000-0600-000001000000}"/>
    <hyperlink ref="I10" r:id="rId3" display="https://www.fhwa.dot.gov/tpm/rule/170601pm3.pdf" xr:uid="{00000000-0004-0000-0600-000002000000}"/>
    <hyperlink ref="I14" r:id="rId4" xr:uid="{00000000-0004-0000-0600-000003000000}"/>
  </hyperlinks>
  <pageMargins left="0.7" right="0.7" top="0.75" bottom="0.75" header="0.3" footer="0.3"/>
  <pageSetup orientation="portrait" horizontalDpi="1200" verticalDpi="120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7CB67128276449BD8D62D065B6D34" ma:contentTypeVersion="12" ma:contentTypeDescription="Create a new document." ma:contentTypeScope="" ma:versionID="831be4f3eeed94ee4a4b63575366f504">
  <xsd:schema xmlns:xsd="http://www.w3.org/2001/XMLSchema" xmlns:xs="http://www.w3.org/2001/XMLSchema" xmlns:p="http://schemas.microsoft.com/office/2006/metadata/properties" xmlns:ns2="e4ddb2aa-0dfc-4db0-9609-da18d57dc5da" xmlns:ns3="33a35aa4-adfa-44eb-a8b3-58b04279d7ad" targetNamespace="http://schemas.microsoft.com/office/2006/metadata/properties" ma:root="true" ma:fieldsID="47c270227b36a5b839c0b9be6c948e8e" ns2:_="" ns3:_="">
    <xsd:import namespace="e4ddb2aa-0dfc-4db0-9609-da18d57dc5da"/>
    <xsd:import namespace="33a35aa4-adfa-44eb-a8b3-58b04279d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db2aa-0dfc-4db0-9609-da18d57dc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35aa4-adfa-44eb-a8b3-58b04279d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F48D1E-421F-4E0E-83D9-6DE2C09CF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ddb2aa-0dfc-4db0-9609-da18d57dc5da"/>
    <ds:schemaRef ds:uri="33a35aa4-adfa-44eb-a8b3-58b04279d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BA04AB-7A87-46BD-8F21-14A17A3D93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0647E6-9CBF-47E3-864D-4FFBFEBAEA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User Guide</vt:lpstr>
      <vt:lpstr>State Summary</vt:lpstr>
      <vt:lpstr>LOTTR Interstate</vt:lpstr>
      <vt:lpstr>LOTTR Non-Interstate</vt:lpstr>
      <vt:lpstr>TTTR</vt:lpstr>
      <vt:lpstr>PHED</vt:lpstr>
      <vt:lpstr>Non-SOV Updated 2019</vt:lpstr>
      <vt:lpstr>Non-SOV Updated 2018</vt:lpstr>
      <vt:lpstr>Non-SOV Data 2016</vt:lpstr>
      <vt:lpstr>2017 NEW RAW DATA </vt:lpstr>
      <vt:lpstr>2018 RAW DATA</vt:lpstr>
      <vt:lpstr>2019 RAW DATA</vt:lpstr>
      <vt:lpstr>2020 RAW DATA</vt:lpstr>
      <vt:lpstr>2021 RAW Data</vt:lpstr>
      <vt:lpstr>VMT Growth</vt:lpstr>
      <vt:lpstr>2017 RAW DATA</vt:lpstr>
      <vt:lpstr>2016 RAW DATA</vt:lpstr>
      <vt:lpstr>2015 RAW DATA</vt:lpstr>
      <vt:lpstr>2014 RAW DATA</vt:lpstr>
      <vt:lpstr>Charts</vt:lpstr>
      <vt:lpstr>'LOTTR Interstate'!Print_Area</vt:lpstr>
      <vt:lpstr>'LOTTR Non-Interstate'!Print_Area</vt:lpstr>
      <vt:lpstr>'State Summary'!Print_Area</vt:lpstr>
      <vt:lpstr>TTTR!Print_Area</vt:lpstr>
      <vt:lpstr>'LOTTR Interstate'!Print_Titles</vt:lpstr>
      <vt:lpstr>'LOTTR Non-Interstate'!Print_Titles</vt:lpstr>
      <vt:lpstr>TTTR!Print_Titles</vt:lpstr>
    </vt:vector>
  </TitlesOfParts>
  <Manager/>
  <Company>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Guo, Bobie</dc:creator>
  <cp:keywords/>
  <dc:description/>
  <cp:lastModifiedBy>Schrank, David</cp:lastModifiedBy>
  <cp:revision/>
  <dcterms:created xsi:type="dcterms:W3CDTF">2017-08-07T15:40:40Z</dcterms:created>
  <dcterms:modified xsi:type="dcterms:W3CDTF">2022-04-13T13:17:04Z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0x01010094F7CB67128276449BD8D62D065B6D34</vt:lpwstr>
  </property>
</Properties>
</file>